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firstSheet="4" activeTab="4"/>
  </bookViews>
  <sheets>
    <sheet name="AssegnazioniC" sheetId="1" state="hidden" r:id="rId1"/>
    <sheet name="TrasferimentiC" sheetId="2" state="hidden" r:id="rId2"/>
    <sheet name="AssegnazioniFC" sheetId="3" state="hidden" r:id="rId3"/>
    <sheet name="TrasferimentiFC" sheetId="4" state="hidden" r:id="rId4"/>
    <sheet name="TAB 1 VALORI" sheetId="5" r:id="rId5"/>
    <sheet name="Tab3AssegnazioniPrivata_old" sheetId="6" state="hidden" r:id="rId6"/>
    <sheet name="Tab3aPropostaAssegnazioniPriv" sheetId="7" state="hidden" r:id="rId7"/>
    <sheet name="CIPETab2" sheetId="8" state="hidden" r:id="rId8"/>
    <sheet name="Tab3aAssegnazioniPrivata" sheetId="9" state="hidden" r:id="rId9"/>
    <sheet name="Foglio1" sheetId="10" state="hidden" r:id="rId10"/>
    <sheet name="ProiezioniCassa_26nov2014" sheetId="11" state="hidden" r:id="rId11"/>
    <sheet name="CIPETab1b_AutCoperture" sheetId="12" state="hidden" r:id="rId12"/>
    <sheet name="Foglio4" sheetId="13" state="hidden" r:id="rId13"/>
    <sheet name="Foglio2" sheetId="14" state="hidden" r:id="rId14"/>
  </sheets>
  <definedNames>
    <definedName name="_xlnm._FilterDatabase" localSheetId="0" hidden="1">'AssegnazioniC'!$A$2:$AC$61</definedName>
    <definedName name="_xlfn.FLOOR.PRECISE" hidden="1">#NAME?</definedName>
    <definedName name="_xlnm.Print_Area" localSheetId="11">'CIPETab1b_AutCoperture'!$A$1:$G$14</definedName>
    <definedName name="_xlnm.Print_Area" localSheetId="7">'CIPETab2'!$A$1:$H$9</definedName>
    <definedName name="_xlnm.Print_Area" localSheetId="8">'Tab3aAssegnazioniPrivata'!$A$1:$M$91</definedName>
    <definedName name="_xlnm.Print_Area" localSheetId="6">'Tab3aPropostaAssegnazioniPriv'!$A$1:$M$96</definedName>
    <definedName name="_xlnm.Print_Area" localSheetId="5">'Tab3AssegnazioniPrivata_old'!$A$1:$M$83</definedName>
    <definedName name="_xlnm.Print_Titles" localSheetId="0">'AssegnazioniC'!$1:$2</definedName>
    <definedName name="_xlnm.Print_Titles" localSheetId="11">'CIPETab1b_AutCoperture'!$1:$1</definedName>
    <definedName name="_xlnm.Print_Titles" localSheetId="7">'CIPETab2'!$1:$4</definedName>
    <definedName name="_xlnm.Print_Titles" localSheetId="8">'Tab3aAssegnazioniPrivata'!$1:$1</definedName>
    <definedName name="_xlnm.Print_Titles" localSheetId="6">'Tab3aPropostaAssegnazioniPriv'!$1:$1</definedName>
    <definedName name="_xlnm.Print_Titles" localSheetId="5">'Tab3AssegnazioniPrivata_old'!$1:$1</definedName>
    <definedName name="_xlnm.Print_Titles" localSheetId="1">'TrasferimentiC'!$1:$2</definedName>
  </definedNames>
  <calcPr fullCalcOnLoad="1"/>
</workbook>
</file>

<file path=xl/comments1.xml><?xml version="1.0" encoding="utf-8"?>
<comments xmlns="http://schemas.openxmlformats.org/spreadsheetml/2006/main">
  <authors>
    <author>Marini Giovanni</author>
    <author>enrico.sevi</author>
    <author>ivan.dipompeo</author>
  </authors>
  <commentList>
    <comment ref="P3" authorId="0">
      <text>
        <r>
          <rPr>
            <b/>
            <sz val="9"/>
            <rFont val="Tahoma"/>
            <family val="2"/>
          </rPr>
          <t>Marini Giovanni:</t>
        </r>
        <r>
          <rPr>
            <sz val="9"/>
            <rFont val="Tahoma"/>
            <family val="2"/>
          </rPr>
          <t xml:space="preserve">
aut def CIPE50/2013</t>
        </r>
      </text>
    </comment>
    <comment ref="T3" authorId="0">
      <text>
        <r>
          <rPr>
            <b/>
            <sz val="9"/>
            <rFont val="Tahoma"/>
            <family val="2"/>
          </rPr>
          <t>Marini Giovanni:</t>
        </r>
        <r>
          <rPr>
            <sz val="9"/>
            <rFont val="Tahoma"/>
            <family val="2"/>
          </rPr>
          <t xml:space="preserve">
Marini Giovanni:
142.525.129,00 aut def CIPE 1/2014
63.294.575,83 aut def CIPE 23/2014
69.861.565,25 aut def CIPE 20 feb 2015</t>
        </r>
      </text>
    </comment>
    <comment ref="U3" authorId="0">
      <text>
        <r>
          <rPr>
            <b/>
            <sz val="9"/>
            <rFont val="Tahoma"/>
            <family val="2"/>
          </rPr>
          <t>Marini Giovanni:</t>
        </r>
        <r>
          <rPr>
            <sz val="9"/>
            <rFont val="Tahoma"/>
            <family val="2"/>
          </rPr>
          <t xml:space="preserve">
Marini Giovanni:
205.819.704,82 aut def CIPE 23/2014
41.031.967,36 aut def CIPE 20 feb 2015</t>
        </r>
      </text>
    </comment>
    <comment ref="O4" authorId="0">
      <text>
        <r>
          <rPr>
            <b/>
            <sz val="9"/>
            <rFont val="Tahoma"/>
            <family val="2"/>
          </rPr>
          <t>Marini Giovanni:</t>
        </r>
        <r>
          <rPr>
            <sz val="9"/>
            <rFont val="Tahoma"/>
            <family val="2"/>
          </rPr>
          <t xml:space="preserve">
di cui 32.194.895,13 aut def CIPE 23/2014</t>
        </r>
      </text>
    </comment>
    <comment ref="P4" authorId="0">
      <text>
        <r>
          <rPr>
            <b/>
            <sz val="9"/>
            <rFont val="Tahoma"/>
            <family val="2"/>
          </rPr>
          <t>Marini Giovanni:</t>
        </r>
        <r>
          <rPr>
            <sz val="9"/>
            <rFont val="Tahoma"/>
            <family val="2"/>
          </rPr>
          <t xml:space="preserve">
55.982.438,68 aut def CIPE 23/2014
11.253.887,32 aut def CIPE 20 feb 2015</t>
        </r>
      </text>
    </comment>
    <comment ref="Q4" authorId="0">
      <text>
        <r>
          <rPr>
            <b/>
            <sz val="9"/>
            <rFont val="Tahoma"/>
            <family val="2"/>
          </rPr>
          <t>Marini Giovanni:</t>
        </r>
        <r>
          <rPr>
            <sz val="9"/>
            <rFont val="Tahoma"/>
            <family val="2"/>
          </rPr>
          <t xml:space="preserve">
23.787.543,56 aut def CIPE 23/2014
43.448.782,44 aut def CIPE 20 feb 2015</t>
        </r>
      </text>
    </comment>
    <comment ref="R4" authorId="0">
      <text>
        <r>
          <rPr>
            <b/>
            <sz val="9"/>
            <rFont val="Tahoma"/>
            <family val="2"/>
          </rPr>
          <t>Marini Giovanni:</t>
        </r>
        <r>
          <rPr>
            <sz val="9"/>
            <rFont val="Tahoma"/>
            <family val="2"/>
          </rPr>
          <t xml:space="preserve">
55.982.438,68 aut def CIPE 23/2014
11.253.887,32 aut def CIPE 20 feb 2015</t>
        </r>
      </text>
    </comment>
    <comment ref="B7" authorId="1">
      <text>
        <r>
          <rPr>
            <b/>
            <sz val="9"/>
            <rFont val="Tahoma"/>
            <family val="2"/>
          </rPr>
          <t>enrico.sevi:</t>
        </r>
        <r>
          <rPr>
            <sz val="9"/>
            <rFont val="Tahoma"/>
            <family val="2"/>
          </rPr>
          <t xml:space="preserve">
di cui 142,470,76 trasferiti in anticipazione e autorizzati per utilizzo privata con nota Prot. n. 70812 del 25/11/2009 del Vice Commissario delegato ex art. 3 dell’OCPM n. 3761 </t>
        </r>
      </text>
    </comment>
    <comment ref="D9" authorId="2">
      <text>
        <r>
          <rPr>
            <b/>
            <sz val="9"/>
            <rFont val="Tahoma"/>
            <family val="2"/>
          </rPr>
          <t xml:space="preserve">ivan.dipompeo:
</t>
        </r>
        <r>
          <rPr>
            <sz val="9"/>
            <rFont val="Tahoma"/>
            <family val="2"/>
          </rPr>
          <t xml:space="preserve">
</t>
        </r>
        <r>
          <rPr>
            <sz val="12"/>
            <rFont val="Tahoma"/>
            <family val="2"/>
          </rPr>
          <t>Trasferimento per edilizia privata in data 22/06/2011 e acquisito dal comune di Barisciano con ordinativo di incasso n.231 del 2011.
Ulteriori e puntuali controlli effettuati dal Comune di Barisciano hanno evidenziato, come riportato con nota acquisita al protocollo USRC n. 1899 del 18/04/2018 che quanto dichiarato in merito all’ulteriore trasferimento di € 500.000,00 con ordinativo di incasso n.231 del 22/06/2011 nella nota USRC n.2776 del 26/05/2016 era frutto di un mero errore, in quanto lo stesso è riferito non ad un nuovo trasferimento ma ad una partita di giro a favore dello stesso ente tutto giustificato con il mandato di pagamento n.713 del 22/06/2011 e l’ordinativo di incasso n.231 del 22/06/2011.</t>
        </r>
      </text>
    </comment>
    <comment ref="E39" authorId="1">
      <text>
        <r>
          <rPr>
            <b/>
            <sz val="9"/>
            <rFont val="Tahoma"/>
            <family val="2"/>
          </rPr>
          <t>enrico.sevi:</t>
        </r>
        <r>
          <rPr>
            <sz val="9"/>
            <rFont val="Tahoma"/>
            <family val="2"/>
          </rPr>
          <t xml:space="preserve">
Trasferimento da Decreto Diset n.48 del 14.03.2013, capo I art. 9 comma 1. Riparto delle risorse residue per l'edilizia privata: pratiche in giacenza presso le strutture commissariali prima della fine dello stato di emergenza.</t>
        </r>
      </text>
    </comment>
  </commentList>
</comments>
</file>

<file path=xl/comments2.xml><?xml version="1.0" encoding="utf-8"?>
<comments xmlns="http://schemas.openxmlformats.org/spreadsheetml/2006/main">
  <authors>
    <author>Marini Giovanni</author>
    <author>Xp Professional Sp2b Italiano</author>
    <author>enrico.sevi</author>
    <author>ivan.dipompeo</author>
  </authors>
  <commentList>
    <comment ref="P3" authorId="0">
      <text>
        <r>
          <rPr>
            <b/>
            <sz val="9"/>
            <rFont val="Tahoma"/>
            <family val="2"/>
          </rPr>
          <t>Marini Giovanni:</t>
        </r>
        <r>
          <rPr>
            <sz val="9"/>
            <rFont val="Tahoma"/>
            <family val="2"/>
          </rPr>
          <t xml:space="preserve">
aut def CIPE50/2013</t>
        </r>
      </text>
    </comment>
    <comment ref="R3" authorId="1">
      <text>
        <r>
          <rPr>
            <b/>
            <sz val="8"/>
            <rFont val="Tahoma"/>
            <family val="2"/>
          </rPr>
          <t xml:space="preserve">G:
</t>
        </r>
        <r>
          <rPr>
            <sz val="8"/>
            <rFont val="Tahoma"/>
            <family val="2"/>
          </rPr>
          <t xml:space="preserve">SMAPT 511 DEL 20/6/2016
SMAPT1145 del 26/10/2017
</t>
        </r>
      </text>
    </comment>
    <comment ref="T3" authorId="1">
      <text>
        <r>
          <rPr>
            <b/>
            <sz val="8"/>
            <rFont val="Tahoma"/>
            <family val="2"/>
          </rPr>
          <t>di cui 69.861.565,25 con SdM386/07-08-2015, accredito 30 settembre;
ultima tranche trasf con SdM783/03-12-2015, accredito seconda metà di dicembre</t>
        </r>
        <r>
          <rPr>
            <sz val="8"/>
            <rFont val="Tahoma"/>
            <family val="2"/>
          </rPr>
          <t xml:space="preserve">
</t>
        </r>
      </text>
    </comment>
    <comment ref="U3" authorId="1">
      <text>
        <r>
          <rPr>
            <b/>
            <sz val="8"/>
            <rFont val="Tahoma"/>
            <family val="2"/>
          </rPr>
          <t>SdM459/sett 2015 126 meuro privata AQ, accredito 30 ottorbre 2015.</t>
        </r>
        <r>
          <rPr>
            <sz val="8"/>
            <rFont val="Tahoma"/>
            <family val="2"/>
          </rPr>
          <t xml:space="preserve">
ultima tranche trasf con SdM783/03-12-2015, accredito seconda metà di dicembre
+
(G): 5.512.788,90 DA SMAPT 349 DEL 15/4/2016
</t>
        </r>
      </text>
    </comment>
    <comment ref="V3" authorId="1">
      <text>
        <r>
          <rPr>
            <b/>
            <sz val="8"/>
            <rFont val="Tahoma"/>
            <family val="2"/>
          </rPr>
          <t xml:space="preserve">SdM386/07-08-2015, accredito 30 settembre; 
ultima tranche trasf con SdM783/03-12-2015, accredito seconda metà di dicembre
+
(G): 150.199.736,77 DA  SMAPT 349 DEL 15/4/2016
+ 23.655.760,43 DA SMAPT 511 DEL 20/06/2016
</t>
        </r>
      </text>
    </comment>
    <comment ref="W3" authorId="1">
      <text>
        <r>
          <rPr>
            <b/>
            <sz val="8"/>
            <rFont val="Tahoma"/>
            <family val="2"/>
          </rPr>
          <t xml:space="preserve">G: DA SMAPT 349 DEL 15/4/2016
+ SMAPT 511 DEL 20/06/2016
</t>
        </r>
        <r>
          <rPr>
            <sz val="8"/>
            <rFont val="Tahoma"/>
            <family val="2"/>
          </rPr>
          <t xml:space="preserve">
</t>
        </r>
      </text>
    </comment>
    <comment ref="X3" authorId="1">
      <text>
        <r>
          <rPr>
            <b/>
            <sz val="8"/>
            <rFont val="Tahoma"/>
            <family val="2"/>
          </rPr>
          <t xml:space="preserve">G: 
</t>
        </r>
        <r>
          <rPr>
            <sz val="12"/>
            <rFont val="Tahoma"/>
            <family val="2"/>
          </rPr>
          <t>SMAPT 87 del 7/02/2017
SMAPT 414 del 12/4/2017
SMAPT 639 del 08/06/2017
SMAPT 933 del 07/9/2017
SMAPT 1145 del 26/10/2017
SMAPT 202 del 12/03/2018
SMAPT 413 del 17/05/2018</t>
        </r>
        <r>
          <rPr>
            <sz val="8"/>
            <rFont val="Tahoma"/>
            <family val="2"/>
          </rPr>
          <t xml:space="preserve">
</t>
        </r>
      </text>
    </comment>
    <comment ref="N4" authorId="0">
      <text>
        <r>
          <rPr>
            <b/>
            <sz val="9"/>
            <rFont val="Tahoma"/>
            <family val="2"/>
          </rPr>
          <t>Marini Giovanni:</t>
        </r>
        <r>
          <rPr>
            <sz val="9"/>
            <rFont val="Tahoma"/>
            <family val="2"/>
          </rPr>
          <t xml:space="preserve">
DiSET 1955 del 14 novembre 2014 - trasferimento 36.562.377,25  a USRC, per successiva erogazione ai Comuni del cratere secondo la ripartizione di cui alla nota USRC 1381 del 21 ottobre 2013 (colonna N del foglio "Assegnazioni"), di quota parte dell'assegnazione di 99 mln di euro prevista dalla Delibera CIPE 135/2012.
poi richiesto trasf. del residuo con nota DiSET 83 del 26-1-2015</t>
        </r>
      </text>
    </comment>
    <comment ref="O4" authorId="1">
      <text>
        <r>
          <rPr>
            <b/>
            <sz val="8"/>
            <rFont val="Tahoma"/>
            <family val="2"/>
          </rPr>
          <t>g:
SMAPT 1384 del 7/12/2017</t>
        </r>
        <r>
          <rPr>
            <sz val="8"/>
            <rFont val="Tahoma"/>
            <family val="2"/>
          </rPr>
          <t xml:space="preserve">
SMAPT 696 DEL 4/09/18
</t>
        </r>
      </text>
    </comment>
    <comment ref="P4" authorId="1">
      <text>
        <r>
          <rPr>
            <b/>
            <sz val="8"/>
            <rFont val="Tahoma"/>
            <family val="2"/>
          </rPr>
          <t xml:space="preserve">G: SMAPT 422 DEL 17/05/2016
</t>
        </r>
        <r>
          <rPr>
            <sz val="8"/>
            <rFont val="Tahoma"/>
            <family val="2"/>
          </rPr>
          <t xml:space="preserve">
</t>
        </r>
      </text>
    </comment>
    <comment ref="Q4" authorId="1">
      <text>
        <r>
          <rPr>
            <b/>
            <sz val="12"/>
            <rFont val="Tahoma"/>
            <family val="2"/>
          </rPr>
          <t>G:</t>
        </r>
        <r>
          <rPr>
            <sz val="12"/>
            <rFont val="Tahoma"/>
            <family val="2"/>
          </rPr>
          <t xml:space="preserve"> SMAPT 588 DEL 11/7/2016
SMAPT 1065 DEL 10/11/2016
SMAPT 277 del 15/3/2017</t>
        </r>
      </text>
    </comment>
    <comment ref="R4" authorId="1">
      <text>
        <r>
          <rPr>
            <b/>
            <sz val="8"/>
            <rFont val="Tahoma"/>
            <family val="2"/>
          </rPr>
          <t>G:
SMAPT 31 DEL 19/01/2017
SMAPT 277 del 15/3/2017
SMAPT 438 del 21/4/2017</t>
        </r>
      </text>
    </comment>
    <comment ref="X4" authorId="1">
      <text>
        <r>
          <rPr>
            <b/>
            <sz val="12"/>
            <rFont val="Tahoma"/>
            <family val="2"/>
          </rPr>
          <t xml:space="preserve">G: 
</t>
        </r>
        <r>
          <rPr>
            <sz val="12"/>
            <rFont val="Tahoma"/>
            <family val="2"/>
          </rPr>
          <t>SMAPT 438 del 21/4/2017
SMAPT 1032 del 4/10/2017
SMAPT 1384 del 7/12/2017
SMAPT 515 del 22/06/2018
SMAPT 696 del 4/09/2018
SMAPT 856 del 26/10/2018</t>
        </r>
      </text>
    </comment>
    <comment ref="N5" authorId="2">
      <text>
        <r>
          <rPr>
            <b/>
            <sz val="9"/>
            <rFont val="Tahoma"/>
            <family val="2"/>
          </rPr>
          <t>enrico.sevi:</t>
        </r>
        <r>
          <rPr>
            <sz val="9"/>
            <rFont val="Tahoma"/>
            <family val="2"/>
          </rPr>
          <t xml:space="preserve">
In applicazione del'art. 3 della CIPE 22/2015, l'USRC ha utilizzato le risorse provenienti dalla annualità 2014 della CIPE 135/2012 per trasferire ai singoli Comuni le risorse ad essi assegnate a valere sulle delibere 43/2012, 135/2012, 50/2013, 1/2014, 23/2014 e 22/2015 anche per annualità successive rispetto a quella di trasferimento.</t>
        </r>
      </text>
    </comment>
    <comment ref="B7" authorId="2">
      <text>
        <r>
          <rPr>
            <b/>
            <sz val="9"/>
            <rFont val="Tahoma"/>
            <family val="2"/>
          </rPr>
          <t>enrico.sevi:</t>
        </r>
        <r>
          <rPr>
            <sz val="9"/>
            <rFont val="Tahoma"/>
            <family val="2"/>
          </rPr>
          <t xml:space="preserve">
di cui 142,470,76 trasferiti in anticipazione e autorizzati per utilizzo privata con nota Prot. n. 70812 del 25/11/2009 del Vice Commissario delegato ex art. 3 dell’OCPM n. 3761.</t>
        </r>
      </text>
    </comment>
    <comment ref="D9" authorId="3">
      <text>
        <r>
          <rPr>
            <b/>
            <sz val="9"/>
            <rFont val="Tahoma"/>
            <family val="2"/>
          </rPr>
          <t>ivan.dipompeo:</t>
        </r>
        <r>
          <rPr>
            <sz val="9"/>
            <rFont val="Tahoma"/>
            <family val="2"/>
          </rPr>
          <t xml:space="preserve">
Trasferimento per edilizia privata in data 22/06/2011 e acquisito dal comune di Barisciano con ordinativo di incasso n.231 del 2011.
Ulteriori e puntuali controlli effettuati dal Comune di Barisciano hanno evidenziato, come riportato con nota acquisita al protocollo USRC n. 1899 del 18/04/2018 che quanto dichiarato in merito all’ulteriore trasferimento di € 500.000,00 con ordinativo di incasso n.231 del 22/06/2011 nella nota USRC n.2776 del 26/05/2016 era frutto di un mero errore, in quanto lo stesso è riferito non ad un nuovo trasferimento ma ad una partita di giro a favore dello stesso ente tutto giustificato con il mandato di pagamento n.713 del 22/06/2011 e l’ordinativo di incasso n.231 del 22/06/2011.</t>
        </r>
      </text>
    </comment>
    <comment ref="E39" authorId="2">
      <text>
        <r>
          <rPr>
            <b/>
            <sz val="9"/>
            <rFont val="Tahoma"/>
            <family val="2"/>
          </rPr>
          <t>enrico.sevi:</t>
        </r>
        <r>
          <rPr>
            <sz val="9"/>
            <rFont val="Tahoma"/>
            <family val="2"/>
          </rPr>
          <t xml:space="preserve">
Trasferimento da Decreto Diset n.48 del 14.03.2013, capo I art. 9 comma 1. Riparto delle risorse residue per l'edilizia privata: pratiche in giacenza presso le strutture commissariali prima della fine dello stato di emergenza.</t>
        </r>
      </text>
    </comment>
    <comment ref="S3" authorId="1">
      <text>
        <r>
          <rPr>
            <b/>
            <sz val="8"/>
            <rFont val="Tahoma"/>
            <family val="2"/>
          </rPr>
          <t>SMAPT 413 del 17/05/2018</t>
        </r>
      </text>
    </comment>
    <comment ref="Y3" authorId="1">
      <text>
        <r>
          <rPr>
            <b/>
            <sz val="8"/>
            <rFont val="Tahoma"/>
            <family val="2"/>
          </rPr>
          <t xml:space="preserve">SMAPT 695 del 04/09/2018
</t>
        </r>
        <r>
          <rPr>
            <sz val="8"/>
            <rFont val="Tahoma"/>
            <family val="2"/>
          </rPr>
          <t xml:space="preserve">
SMAPT 855 DEL 26/10/2018
</t>
        </r>
      </text>
    </comment>
    <comment ref="S4" authorId="1">
      <text>
        <r>
          <rPr>
            <b/>
            <sz val="8"/>
            <rFont val="Tahoma"/>
            <family val="2"/>
          </rPr>
          <t>SMAPT 856 del 26/10/2018</t>
        </r>
      </text>
    </comment>
  </commentList>
</comments>
</file>

<file path=xl/comments3.xml><?xml version="1.0" encoding="utf-8"?>
<comments xmlns="http://schemas.openxmlformats.org/spreadsheetml/2006/main">
  <authors>
    <author>Emanuele Giorgi</author>
    <author>Valentina Scipione</author>
    <author>Anna Amicosante</author>
  </authors>
  <commentList>
    <comment ref="K3" authorId="0">
      <text>
        <r>
          <rPr>
            <b/>
            <sz val="9"/>
            <rFont val="Tahoma"/>
            <family val="2"/>
          </rPr>
          <t>Emanuele Giorgi:</t>
        </r>
        <r>
          <rPr>
            <sz val="9"/>
            <rFont val="Tahoma"/>
            <family val="2"/>
          </rPr>
          <t xml:space="preserve">
Residuo complessivo a valere sulla CIPE 95/2009</t>
        </r>
      </text>
    </comment>
    <comment ref="O3" authorId="0">
      <text>
        <r>
          <rPr>
            <b/>
            <sz val="9"/>
            <rFont val="Tahoma"/>
            <family val="2"/>
          </rPr>
          <t>Emanuele Giorgi:</t>
        </r>
        <r>
          <rPr>
            <sz val="9"/>
            <rFont val="Tahoma"/>
            <family val="2"/>
          </rPr>
          <t xml:space="preserve">
Residuo complessivo a valere sulla CIPE 43/2012</t>
        </r>
      </text>
    </comment>
    <comment ref="S3" authorId="0">
      <text>
        <r>
          <rPr>
            <b/>
            <sz val="9"/>
            <rFont val="Tahoma"/>
            <family val="2"/>
          </rPr>
          <t>Emanuele Giorgi:</t>
        </r>
        <r>
          <rPr>
            <sz val="9"/>
            <rFont val="Tahoma"/>
            <family val="2"/>
          </rPr>
          <t xml:space="preserve">
Residuo complessivo a valere sulla CIPE 135/2012 </t>
        </r>
      </text>
    </comment>
    <comment ref="V3" authorId="0">
      <text>
        <r>
          <rPr>
            <b/>
            <sz val="9"/>
            <rFont val="Tahoma"/>
            <family val="2"/>
          </rPr>
          <t>Emanuele Giorgi:</t>
        </r>
        <r>
          <rPr>
            <sz val="9"/>
            <rFont val="Tahoma"/>
            <family val="2"/>
          </rPr>
          <t xml:space="preserve">
Residuo complessivo a valere sulla CIPE 50/2013</t>
        </r>
      </text>
    </comment>
    <comment ref="H8" authorId="1">
      <text>
        <r>
          <rPr>
            <b/>
            <sz val="9"/>
            <rFont val="Tahoma"/>
            <family val="2"/>
          </rPr>
          <t>Valentina Scipione:</t>
        </r>
        <r>
          <rPr>
            <sz val="9"/>
            <rFont val="Tahoma"/>
            <family val="2"/>
          </rPr>
          <t xml:space="preserve">
somma in parte restituita
€€ 8789,26</t>
        </r>
      </text>
    </comment>
    <comment ref="D16" authorId="1">
      <text>
        <r>
          <rPr>
            <b/>
            <sz val="9"/>
            <rFont val="Tahoma"/>
            <family val="2"/>
          </rPr>
          <t>Valentina Scipione:</t>
        </r>
        <r>
          <rPr>
            <sz val="9"/>
            <rFont val="Tahoma"/>
            <family val="2"/>
          </rPr>
          <t xml:space="preserve">
NON ANTICIPAZIONE, MA SOMME RENDICONTATE
</t>
        </r>
      </text>
    </comment>
    <comment ref="D18" authorId="1">
      <text>
        <r>
          <rPr>
            <b/>
            <sz val="9"/>
            <rFont val="Tahoma"/>
            <family val="2"/>
          </rPr>
          <t>Valentina Scipione:</t>
        </r>
        <r>
          <rPr>
            <sz val="9"/>
            <rFont val="Tahoma"/>
            <family val="2"/>
          </rPr>
          <t xml:space="preserve">
decurtazione di 30.000,00 per diverso utilizzo autorizzato</t>
        </r>
      </text>
    </comment>
    <comment ref="D45" authorId="1">
      <text>
        <r>
          <rPr>
            <b/>
            <sz val="9"/>
            <rFont val="Tahoma"/>
            <family val="2"/>
          </rPr>
          <t>Valentina Scipione:</t>
        </r>
        <r>
          <rPr>
            <sz val="9"/>
            <rFont val="Tahoma"/>
            <family val="2"/>
          </rPr>
          <t xml:space="preserve">
€ 88631,00 anticipazione DPC autorizzata per lavori privati</t>
        </r>
      </text>
    </comment>
    <comment ref="H53" authorId="1">
      <text>
        <r>
          <rPr>
            <b/>
            <sz val="9"/>
            <rFont val="Tahoma"/>
            <family val="2"/>
          </rPr>
          <t>Valentina Scipione:</t>
        </r>
        <r>
          <rPr>
            <sz val="9"/>
            <rFont val="Tahoma"/>
            <family val="2"/>
          </rPr>
          <t xml:space="preserve">
ha restituito € 88,00
</t>
        </r>
      </text>
    </comment>
    <comment ref="G76" authorId="2">
      <text>
        <r>
          <rPr>
            <b/>
            <sz val="9"/>
            <rFont val="Tahoma"/>
            <family val="2"/>
          </rPr>
          <t>Anna Amicosante:</t>
        </r>
        <r>
          <rPr>
            <sz val="9"/>
            <rFont val="Tahoma"/>
            <family val="2"/>
          </rPr>
          <t xml:space="preserve">
IMPORTO RIMOSSO DA AVEIANET</t>
        </r>
      </text>
    </comment>
    <comment ref="S91" authorId="0">
      <text>
        <r>
          <rPr>
            <b/>
            <sz val="9"/>
            <rFont val="Tahoma"/>
            <family val="2"/>
          </rPr>
          <t>Emanuele Giorgi:</t>
        </r>
        <r>
          <rPr>
            <sz val="9"/>
            <rFont val="Tahoma"/>
            <family val="2"/>
          </rPr>
          <t xml:space="preserve">
Importi restituiti dal Comune che ne ha ravvisata la non necessità</t>
        </r>
      </text>
    </comment>
    <comment ref="V91" authorId="0">
      <text>
        <r>
          <rPr>
            <b/>
            <sz val="9"/>
            <rFont val="Tahoma"/>
            <family val="2"/>
          </rPr>
          <t>Emanuele Giorgi:</t>
        </r>
        <r>
          <rPr>
            <sz val="9"/>
            <rFont val="Tahoma"/>
            <family val="2"/>
          </rPr>
          <t xml:space="preserve">
Importi restituiti dal Comune che ne ha ravvisata la non necessità</t>
        </r>
      </text>
    </comment>
    <comment ref="C102" authorId="0">
      <text>
        <r>
          <rPr>
            <b/>
            <sz val="9"/>
            <rFont val="Tahoma"/>
            <family val="2"/>
          </rPr>
          <t>Emanuele Giorgi:</t>
        </r>
        <r>
          <rPr>
            <sz val="9"/>
            <rFont val="Tahoma"/>
            <family val="2"/>
          </rPr>
          <t xml:space="preserve">
Gli importi precedentemente attribuiti a Scanno sono stati spostati su Secinaro; Scanno non ha mai ricevuti fondi per la ricostruzione</t>
        </r>
      </text>
    </comment>
    <comment ref="C104" authorId="0">
      <text>
        <r>
          <rPr>
            <b/>
            <sz val="9"/>
            <rFont val="Tahoma"/>
            <family val="2"/>
          </rPr>
          <t>Emanuele Giorgi:</t>
        </r>
        <r>
          <rPr>
            <sz val="9"/>
            <rFont val="Tahoma"/>
            <family val="2"/>
          </rPr>
          <t xml:space="preserve">
Gli importi precedentemente attribuiti a Scanno sono stati spostati su Secinaro; Scanno non ha mai ricevuti fondi per la ricostruzione</t>
        </r>
      </text>
    </comment>
    <comment ref="Q115" authorId="0">
      <text>
        <r>
          <rPr>
            <b/>
            <sz val="9"/>
            <rFont val="Tahoma"/>
            <family val="2"/>
          </rPr>
          <t>Emanuele Giorgi:</t>
        </r>
        <r>
          <rPr>
            <sz val="9"/>
            <rFont val="Tahoma"/>
            <family val="2"/>
          </rPr>
          <t xml:space="preserve">
Eliminati i decimali oltre il secondo che producevano un arrotondamento eccessivo di un centesimo</t>
        </r>
      </text>
    </comment>
  </commentList>
</comments>
</file>

<file path=xl/comments4.xml><?xml version="1.0" encoding="utf-8"?>
<comments xmlns="http://schemas.openxmlformats.org/spreadsheetml/2006/main">
  <authors>
    <author>Emanuele Giorgi</author>
    <author>Marini Giovanni</author>
    <author>Xp Professional Sp2b Italiano</author>
    <author>Ing. Francesco Mattucci</author>
    <author>Valentina Scipione</author>
  </authors>
  <commentList>
    <comment ref="K3" authorId="0">
      <text>
        <r>
          <rPr>
            <b/>
            <sz val="9"/>
            <rFont val="Tahoma"/>
            <family val="2"/>
          </rPr>
          <t>Emanuele Giorgi:</t>
        </r>
        <r>
          <rPr>
            <sz val="9"/>
            <rFont val="Tahoma"/>
            <family val="2"/>
          </rPr>
          <t xml:space="preserve">
Residuo complessivo a valere sulla CIPE 95/2009; tiene conto degli € 501.955,85 trasferiti a Navelli</t>
        </r>
      </text>
    </comment>
    <comment ref="O3" authorId="0">
      <text>
        <r>
          <rPr>
            <b/>
            <sz val="9"/>
            <rFont val="Tahoma"/>
            <family val="2"/>
          </rPr>
          <t>Emanuele Giorgi:</t>
        </r>
        <r>
          <rPr>
            <sz val="9"/>
            <rFont val="Tahoma"/>
            <family val="2"/>
          </rPr>
          <t xml:space="preserve">
Residuo complessivo a valere sulla CIPE 43/2012</t>
        </r>
      </text>
    </comment>
    <comment ref="S3" authorId="0">
      <text>
        <r>
          <rPr>
            <b/>
            <sz val="9"/>
            <rFont val="Tahoma"/>
            <family val="2"/>
          </rPr>
          <t>Emanuele Giorgi:</t>
        </r>
        <r>
          <rPr>
            <sz val="9"/>
            <rFont val="Tahoma"/>
            <family val="2"/>
          </rPr>
          <t xml:space="preserve">
Residuo complessivo a valere sulla CIPE 135/2012</t>
        </r>
      </text>
    </comment>
    <comment ref="T3" authorId="1">
      <text>
        <r>
          <rPr>
            <b/>
            <sz val="9"/>
            <rFont val="Tahoma"/>
            <family val="2"/>
          </rPr>
          <t>Marini Giovanni:</t>
        </r>
        <r>
          <rPr>
            <sz val="9"/>
            <rFont val="Tahoma"/>
            <family val="2"/>
          </rPr>
          <t xml:space="preserve">
Trasferimento di 5 meuro effettuato in data 30 settenbre 2015 richiesto con Sdm del 4 agosto 2015</t>
        </r>
      </text>
    </comment>
    <comment ref="V3" authorId="0">
      <text>
        <r>
          <rPr>
            <b/>
            <sz val="9"/>
            <rFont val="Tahoma"/>
            <family val="2"/>
          </rPr>
          <t>Emanuele Giorgi:</t>
        </r>
        <r>
          <rPr>
            <sz val="9"/>
            <rFont val="Tahoma"/>
            <family val="2"/>
          </rPr>
          <t xml:space="preserve">
Residuo complessivo a valere sulla CIPE 50/2013.
Ridotto di 200 euro in quanto la CIPE 1/2014, per mero errore assegna la somma di 5.620.000 in luogo di 5.620.200.
I 200 euro in più non sono ancora stati trasferiti.</t>
        </r>
      </text>
    </comment>
    <comment ref="AD3" authorId="2">
      <text>
        <r>
          <rPr>
            <b/>
            <sz val="14"/>
            <rFont val="Tahoma"/>
            <family val="2"/>
          </rPr>
          <t xml:space="preserve">Trasferimento di 17 meuro effettuato in data 30 settenbre 2015 richiesto con Sdm del 4 agosto 2015
G: </t>
        </r>
        <r>
          <rPr>
            <sz val="14"/>
            <rFont val="Tahoma"/>
            <family val="2"/>
          </rPr>
          <t>+ 9289342,01 SMAPT 1065 
DEL 10/11/2016
SMAPT 276 del 15/3/2017</t>
        </r>
      </text>
    </comment>
    <comment ref="AF3" authorId="2">
      <text>
        <r>
          <rPr>
            <b/>
            <sz val="8"/>
            <rFont val="Tahoma"/>
            <family val="2"/>
          </rPr>
          <t>G</t>
        </r>
        <r>
          <rPr>
            <b/>
            <sz val="12"/>
            <rFont val="Tahoma"/>
            <family val="2"/>
          </rPr>
          <t>:</t>
        </r>
        <r>
          <rPr>
            <sz val="12"/>
            <rFont val="Tahoma"/>
            <family val="2"/>
          </rPr>
          <t xml:space="preserve">
SMAPT 276 del 15/3/2017
SMAPT 438 DEL 21/4/2017
SMAPT 366 del 08/05/2018
SMAPT 696 del 04/09/2018
SMAPT 856 del 26/10/2018</t>
        </r>
      </text>
    </comment>
    <comment ref="AD5" authorId="3">
      <text>
        <r>
          <rPr>
            <b/>
            <sz val="9"/>
            <rFont val="Tahoma"/>
            <family val="2"/>
          </rPr>
          <t>Francesco Mattucci:</t>
        </r>
        <r>
          <rPr>
            <sz val="9"/>
            <rFont val="Tahoma"/>
            <family val="2"/>
          </rPr>
          <t xml:space="preserve">
</t>
        </r>
        <r>
          <rPr>
            <sz val="14"/>
            <rFont val="Tahoma"/>
            <family val="2"/>
          </rPr>
          <t>In applicazione del'art. 3 della CIPE 22/2015, l'USRC ha utilizzato le risorse provenienti dalla annualità 2014 della CIPE 22/2015 e annualità 2015 della CIPE 135/2012 per trasferire ai singoli Comuni le risorse ad essi assegnate a valere sulle delibere 43/2012, 135/2012, 50/2013, 1/2014, 23/2014 e 22/2015 anche per annualità successive rispetto a quella di trasferimento.</t>
        </r>
      </text>
    </comment>
    <comment ref="AD8" authorId="4">
      <text>
        <r>
          <rPr>
            <b/>
            <sz val="9"/>
            <rFont val="Tahoma"/>
            <family val="2"/>
          </rPr>
          <t>Valentina Scipione:</t>
        </r>
        <r>
          <rPr>
            <sz val="9"/>
            <rFont val="Tahoma"/>
            <family val="2"/>
          </rPr>
          <t xml:space="preserve">
controllare con Francesca cifra</t>
        </r>
      </text>
    </comment>
    <comment ref="D18" authorId="4">
      <text>
        <r>
          <rPr>
            <b/>
            <sz val="9"/>
            <rFont val="Tahoma"/>
            <family val="2"/>
          </rPr>
          <t>Valentina Scipione:</t>
        </r>
        <r>
          <rPr>
            <sz val="9"/>
            <rFont val="Tahoma"/>
            <family val="2"/>
          </rPr>
          <t xml:space="preserve">
decurtazione di 30.000,00 per diverso utilizzo autorizzato
</t>
        </r>
      </text>
    </comment>
    <comment ref="S91" authorId="0">
      <text>
        <r>
          <rPr>
            <b/>
            <sz val="9"/>
            <rFont val="Tahoma"/>
            <family val="2"/>
          </rPr>
          <t>Emanuele Giorgi:</t>
        </r>
        <r>
          <rPr>
            <sz val="9"/>
            <rFont val="Tahoma"/>
            <family val="2"/>
          </rPr>
          <t xml:space="preserve">
Importi restituiti dal Comune che ne ha ravvisata la non necessità</t>
        </r>
      </text>
    </comment>
    <comment ref="V91" authorId="0">
      <text>
        <r>
          <rPr>
            <b/>
            <sz val="9"/>
            <rFont val="Tahoma"/>
            <family val="2"/>
          </rPr>
          <t>Emanuele Giorgi:</t>
        </r>
        <r>
          <rPr>
            <sz val="9"/>
            <rFont val="Tahoma"/>
            <family val="2"/>
          </rPr>
          <t xml:space="preserve">
Importi restituiti dal Comune che ne ha ravvisata la non necessità</t>
        </r>
      </text>
    </comment>
    <comment ref="C102" authorId="0">
      <text>
        <r>
          <rPr>
            <b/>
            <sz val="9"/>
            <rFont val="Tahoma"/>
            <family val="2"/>
          </rPr>
          <t>Emanuele Giorgi:</t>
        </r>
        <r>
          <rPr>
            <sz val="9"/>
            <rFont val="Tahoma"/>
            <family val="2"/>
          </rPr>
          <t xml:space="preserve">
Gli importi precedentemente attribuiti a Scanno sono stati spostati su Secinaro; Scanno non ha mai ricevuti fondi per la ricostruzione</t>
        </r>
      </text>
    </comment>
    <comment ref="C104" authorId="0">
      <text>
        <r>
          <rPr>
            <b/>
            <sz val="9"/>
            <rFont val="Tahoma"/>
            <family val="2"/>
          </rPr>
          <t>Emanuele Giorgi:</t>
        </r>
        <r>
          <rPr>
            <sz val="9"/>
            <rFont val="Tahoma"/>
            <family val="2"/>
          </rPr>
          <t xml:space="preserve">
Gli importi precedentemente attribuiti a Scanno sono stati spostati su Secinaro.</t>
        </r>
      </text>
    </comment>
    <comment ref="Q115" authorId="0">
      <text>
        <r>
          <rPr>
            <b/>
            <sz val="9"/>
            <rFont val="Tahoma"/>
            <family val="2"/>
          </rPr>
          <t>Emanuele Giorgi:</t>
        </r>
        <r>
          <rPr>
            <sz val="9"/>
            <rFont val="Tahoma"/>
            <family val="2"/>
          </rPr>
          <t xml:space="preserve">
Eliminati i decimali oltre il secondo che producevano un arrotondamento eccessivo di un centesimo
</t>
        </r>
      </text>
    </comment>
  </commentList>
</comments>
</file>

<file path=xl/comments5.xml><?xml version="1.0" encoding="utf-8"?>
<comments xmlns="http://schemas.openxmlformats.org/spreadsheetml/2006/main">
  <authors>
    <author>Xp Professional Sp2b Italiano</author>
  </authors>
  <commentList>
    <comment ref="D3" authorId="0">
      <text>
        <r>
          <rPr>
            <b/>
            <sz val="11"/>
            <rFont val="Tahoma"/>
            <family val="2"/>
          </rPr>
          <t xml:space="preserve">al netto del trasferimento di 160 meuro ca ad AQ e di ca 28 meuro a USRc per C richiesti: 1)
con SdM 349/15-06-2016 e accreditato all'inizio di giugno 2016 E 2) nota del 349 del 15 aprile 2016
</t>
        </r>
      </text>
    </comment>
  </commentList>
</comments>
</file>

<file path=xl/comments6.xml><?xml version="1.0" encoding="utf-8"?>
<comments xmlns="http://schemas.openxmlformats.org/spreadsheetml/2006/main">
  <authors>
    <author>Marini Giovanni</author>
    <author>Xp Professional Sp2b Italiano</author>
  </authors>
  <commentList>
    <comment ref="G67" authorId="0">
      <text>
        <r>
          <rPr>
            <b/>
            <sz val="9"/>
            <rFont val="Tahoma"/>
            <family val="2"/>
          </rPr>
          <t>Marini Giovanni:</t>
        </r>
        <r>
          <rPr>
            <sz val="9"/>
            <rFont val="Tahoma"/>
            <family val="2"/>
          </rPr>
          <t xml:space="preserve">
11.170.402,10 assegnati a spese obbligatorie Aq da CIPE 23/2014 da pub</t>
        </r>
      </text>
    </comment>
    <comment ref="H69" authorId="0">
      <text>
        <r>
          <rPr>
            <b/>
            <sz val="9"/>
            <rFont val="Tahoma"/>
            <family val="2"/>
          </rPr>
          <t>Marini Giovanni:</t>
        </r>
        <r>
          <rPr>
            <sz val="9"/>
            <rFont val="Tahoma"/>
            <family val="2"/>
          </rPr>
          <t xml:space="preserve">
</t>
        </r>
        <r>
          <rPr>
            <sz val="10"/>
            <rFont val="Tahoma"/>
            <family val="2"/>
          </rPr>
          <t xml:space="preserve">200meuro stanziati, meno 6.133.557,67 assegnati dalla 22/15 alla AT
</t>
        </r>
      </text>
    </comment>
    <comment ref="I69" authorId="0">
      <text>
        <r>
          <rPr>
            <b/>
            <sz val="9"/>
            <rFont val="Tahoma"/>
            <family val="2"/>
          </rPr>
          <t>Marini Giovanni:</t>
        </r>
        <r>
          <rPr>
            <sz val="9"/>
            <rFont val="Tahoma"/>
            <family val="2"/>
          </rPr>
          <t xml:space="preserve">
</t>
        </r>
        <r>
          <rPr>
            <sz val="12"/>
            <rFont val="Tahoma"/>
            <family val="2"/>
          </rPr>
          <t>900meuro stanziati -761.000,00 assegnati dalla 22/15 alla AT-assegnazione per sp obbligatorie CIPE 78/2015, euro 13.974.947 - 4% di 900meuro per sviluppo - 4% di 192,7 meuro per sviluppo (caricati su L190/2014 per esaurimento 192,7 sul 2016 prima della convers del DL78/2015 e per evitare importo negativo nel quadeo E).</t>
        </r>
      </text>
    </comment>
    <comment ref="D24" authorId="1">
      <text>
        <r>
          <rPr>
            <sz val="10"/>
            <rFont val="Tahoma"/>
            <family val="2"/>
          </rPr>
          <t>NB. Dato modificato nel corso del monitoraggio al 30 aprile 2015 a seuito di trasmissione file USRC in data 24 giugno 2015 - mail di raffaello fico a sara tremi proietti delle ore 14:03.</t>
        </r>
        <r>
          <rPr>
            <sz val="8"/>
            <rFont val="Tahoma"/>
            <family val="2"/>
          </rPr>
          <t xml:space="preserve">
</t>
        </r>
      </text>
    </comment>
    <comment ref="G66" authorId="1">
      <text>
        <r>
          <rPr>
            <b/>
            <sz val="8"/>
            <rFont val="Tahoma"/>
            <family val="2"/>
          </rPr>
          <t>Accantonamento CIPE 50/2013 interamente assegnato con CIPE 78/2015 per sp obbligatorie</t>
        </r>
      </text>
    </comment>
    <comment ref="H66" authorId="1">
      <text>
        <r>
          <rPr>
            <b/>
            <sz val="8"/>
            <rFont val="Tahoma"/>
            <family val="2"/>
          </rPr>
          <t>Accantonamento CIPE 50/2013 assegnato con CIPE 78/2015 per sp obbligatorie per euro 9.438.968</t>
        </r>
      </text>
    </comment>
    <comment ref="I66" authorId="1">
      <text>
        <r>
          <rPr>
            <b/>
            <sz val="8"/>
            <rFont val="Tahoma"/>
            <family val="2"/>
          </rPr>
          <t xml:space="preserve">Accantonamento CIPE 50/2013 interamente assegnato con CIPE 78/2015 per sp obbligatorie
</t>
        </r>
        <r>
          <rPr>
            <sz val="8"/>
            <rFont val="Tahoma"/>
            <family val="2"/>
          </rPr>
          <t xml:space="preserve">
</t>
        </r>
      </text>
    </comment>
    <comment ref="H67" authorId="1">
      <text>
        <r>
          <rPr>
            <sz val="10"/>
            <rFont val="Tahoma"/>
            <family val="2"/>
          </rPr>
          <t>Marini Giovanni:
meno  8,5 meuro DL EELL 78/2015: 7 meuro contr straord AQ,  per 1 milione TASi AQ e meno 0,5 milione TASI C e FC, meno 25.987.211,10 assegnati con CIPE 77/2015 per OOPP.</t>
        </r>
      </text>
    </comment>
    <comment ref="J69" authorId="1">
      <text>
        <r>
          <rPr>
            <b/>
            <sz val="12"/>
            <rFont val="Tahoma"/>
            <family val="2"/>
          </rPr>
          <t>1.100.000 - 4% di 900meuro per sviluppo</t>
        </r>
      </text>
    </comment>
    <comment ref="K69" authorId="1">
      <text>
        <r>
          <rPr>
            <b/>
            <sz val="11"/>
            <rFont val="Tahoma"/>
            <family val="2"/>
          </rPr>
          <t>967.000.000 - 4% per sviluppo</t>
        </r>
        <r>
          <rPr>
            <sz val="8"/>
            <rFont val="Tahoma"/>
            <family val="2"/>
          </rPr>
          <t xml:space="preserve">
</t>
        </r>
      </text>
    </comment>
    <comment ref="L69" authorId="1">
      <text>
        <r>
          <rPr>
            <b/>
            <sz val="8"/>
            <rFont val="Tahoma"/>
            <family val="2"/>
          </rPr>
          <t>967.000.000 - 4% er sviluppo</t>
        </r>
      </text>
    </comment>
    <comment ref="M69" authorId="1">
      <text>
        <r>
          <rPr>
            <b/>
            <sz val="8"/>
            <rFont val="Tahoma"/>
            <family val="2"/>
          </rPr>
          <t>967.000.000 - 4%   per sviluppo</t>
        </r>
      </text>
    </comment>
    <comment ref="J66" authorId="1">
      <text>
        <r>
          <rPr>
            <b/>
            <sz val="8"/>
            <rFont val="Tahoma"/>
            <family val="2"/>
          </rPr>
          <t>192.700.000 
- 4% di 192,7 meuro per sviluppo</t>
        </r>
      </text>
    </comment>
    <comment ref="K66" authorId="1">
      <text>
        <r>
          <rPr>
            <b/>
            <sz val="8"/>
            <rFont val="Tahoma"/>
            <family val="2"/>
          </rPr>
          <t>192.700.000 
- 4% di 192,7 meuro per sviluppo</t>
        </r>
      </text>
    </comment>
    <comment ref="L66" authorId="1">
      <text>
        <r>
          <rPr>
            <b/>
            <sz val="8"/>
            <rFont val="Tahoma"/>
            <family val="2"/>
          </rPr>
          <t>192.700.000 
- 4% di 192,7 meuro per sviluppo</t>
        </r>
      </text>
    </comment>
  </commentList>
</comments>
</file>

<file path=xl/comments7.xml><?xml version="1.0" encoding="utf-8"?>
<comments xmlns="http://schemas.openxmlformats.org/spreadsheetml/2006/main">
  <authors>
    <author>Xp Professional Sp2b Italiano</author>
    <author>Marini Giovanni</author>
  </authors>
  <commentList>
    <comment ref="D29" authorId="0">
      <text>
        <r>
          <rPr>
            <sz val="10"/>
            <rFont val="Tahoma"/>
            <family val="2"/>
          </rPr>
          <t>NB. Dato modificato nel corso del monitoraggio al 30 aprile 2015 a seuito di trasmissione file USRC in data 24 giugno 2015 - mail di raffaello fico a sara tremi proietti delle ore 14:03.</t>
        </r>
        <r>
          <rPr>
            <sz val="8"/>
            <rFont val="Tahoma"/>
            <family val="2"/>
          </rPr>
          <t xml:space="preserve">
</t>
        </r>
      </text>
    </comment>
    <comment ref="G80" authorId="0">
      <text>
        <r>
          <rPr>
            <b/>
            <sz val="8"/>
            <rFont val="Tahoma"/>
            <family val="2"/>
          </rPr>
          <t>Accantonamento CIPE 50/2013 interamente assegnato con CIPE 78/2015 per sp obbligatorie</t>
        </r>
      </text>
    </comment>
    <comment ref="H80" authorId="0">
      <text>
        <r>
          <rPr>
            <b/>
            <sz val="8"/>
            <rFont val="Tahoma"/>
            <family val="2"/>
          </rPr>
          <t>Accantonamento CIPE 50/2013 assegnato con CIPE 78/2015 per sp obbligatorie per euro 9.438.968</t>
        </r>
      </text>
    </comment>
    <comment ref="I80" authorId="0">
      <text>
        <r>
          <rPr>
            <b/>
            <sz val="8"/>
            <rFont val="Tahoma"/>
            <family val="2"/>
          </rPr>
          <t xml:space="preserve">Accantonamento CIPE 50/2013 interamente assegnato con CIPE 78/2015 per sp obbligatorie
</t>
        </r>
        <r>
          <rPr>
            <sz val="8"/>
            <rFont val="Tahoma"/>
            <family val="2"/>
          </rPr>
          <t xml:space="preserve">
</t>
        </r>
      </text>
    </comment>
    <comment ref="J80" authorId="0">
      <text>
        <r>
          <rPr>
            <b/>
            <sz val="8"/>
            <rFont val="Tahoma"/>
            <family val="2"/>
          </rPr>
          <t>192.700.000 
- 4% di 192,7 meuro per sviluppo</t>
        </r>
      </text>
    </comment>
    <comment ref="K80" authorId="0">
      <text>
        <r>
          <rPr>
            <b/>
            <sz val="8"/>
            <rFont val="Tahoma"/>
            <family val="2"/>
          </rPr>
          <t>192.700.000 
- 4% di 192,7 meuro per sviluppo</t>
        </r>
      </text>
    </comment>
    <comment ref="L80" authorId="0">
      <text>
        <r>
          <rPr>
            <b/>
            <sz val="8"/>
            <rFont val="Tahoma"/>
            <family val="2"/>
          </rPr>
          <t>192.700.000 
- 4% di 192,7 meuro per sviluppo</t>
        </r>
      </text>
    </comment>
    <comment ref="G81" authorId="1">
      <text>
        <r>
          <rPr>
            <b/>
            <sz val="9"/>
            <rFont val="Tahoma"/>
            <family val="2"/>
          </rPr>
          <t>Marini Giovanni:</t>
        </r>
        <r>
          <rPr>
            <sz val="9"/>
            <rFont val="Tahoma"/>
            <family val="2"/>
          </rPr>
          <t xml:space="preserve">
11.170.402,10 assegnati a spese obbligatorie Aq da CIPE 23/2014 da pub</t>
        </r>
      </text>
    </comment>
    <comment ref="H81" authorId="0">
      <text>
        <r>
          <rPr>
            <sz val="10"/>
            <rFont val="Tahoma"/>
            <family val="2"/>
          </rPr>
          <t>Marini Giovanni:
meno  8,5 meuro DL EELL 78/2015: 7 meuro contr straord AQ,  per 1 milione TASi AQ e meno 0,5 milione TASI C e FC, meno 25.987.211,10 assegnati con CIPE 77/2015 per OOPP.</t>
        </r>
      </text>
    </comment>
    <comment ref="H83" authorId="1">
      <text>
        <r>
          <rPr>
            <b/>
            <sz val="9"/>
            <rFont val="Tahoma"/>
            <family val="2"/>
          </rPr>
          <t>Marini Giovanni:</t>
        </r>
        <r>
          <rPr>
            <sz val="9"/>
            <rFont val="Tahoma"/>
            <family val="2"/>
          </rPr>
          <t xml:space="preserve">
</t>
        </r>
        <r>
          <rPr>
            <sz val="10"/>
            <rFont val="Tahoma"/>
            <family val="2"/>
          </rPr>
          <t xml:space="preserve">200meuro stanziati, meno 6.133.557,67 assegnati dalla 22/15 alla AT
</t>
        </r>
      </text>
    </comment>
    <comment ref="I83" authorId="1">
      <text>
        <r>
          <rPr>
            <b/>
            <sz val="9"/>
            <rFont val="Tahoma"/>
            <family val="2"/>
          </rPr>
          <t>Marini Giovanni:</t>
        </r>
        <r>
          <rPr>
            <sz val="9"/>
            <rFont val="Tahoma"/>
            <family val="2"/>
          </rPr>
          <t xml:space="preserve">
</t>
        </r>
        <r>
          <rPr>
            <sz val="12"/>
            <rFont val="Tahoma"/>
            <family val="2"/>
          </rPr>
          <t>900meuro stanziati -761.000,00 assegnati dalla 22/15 alla AT-assegnazione per sp obbligatorie CIPE 78/2015, euro 13.974.947 - 4% di 900meuro per sviluppo - 11.978.229,91 AT CIPE 113/2015</t>
        </r>
      </text>
    </comment>
    <comment ref="J83" authorId="0">
      <text>
        <r>
          <rPr>
            <b/>
            <sz val="12"/>
            <rFont val="Tahoma"/>
            <family val="2"/>
          </rPr>
          <t>1.100.000 - 4% di 900meuro per sviluppo</t>
        </r>
      </text>
    </comment>
    <comment ref="K83" authorId="0">
      <text>
        <r>
          <rPr>
            <b/>
            <sz val="11"/>
            <rFont val="Tahoma"/>
            <family val="2"/>
          </rPr>
          <t>967.000.000 - 4% per sviluppo</t>
        </r>
        <r>
          <rPr>
            <sz val="8"/>
            <rFont val="Tahoma"/>
            <family val="2"/>
          </rPr>
          <t xml:space="preserve">
</t>
        </r>
      </text>
    </comment>
    <comment ref="L83" authorId="0">
      <text>
        <r>
          <rPr>
            <b/>
            <sz val="8"/>
            <rFont val="Tahoma"/>
            <family val="2"/>
          </rPr>
          <t>967.000.000 - 4% er sviluppo</t>
        </r>
      </text>
    </comment>
    <comment ref="M83" authorId="0">
      <text>
        <r>
          <rPr>
            <b/>
            <sz val="8"/>
            <rFont val="Tahoma"/>
            <family val="2"/>
          </rPr>
          <t>967.000.000 - 4%   per sviluppo</t>
        </r>
      </text>
    </comment>
    <comment ref="A23" authorId="0">
      <text>
        <r>
          <rPr>
            <b/>
            <sz val="8"/>
            <rFont val="Tahoma"/>
            <family val="2"/>
          </rPr>
          <t xml:space="preserve">Paper Giovanni Marini: errore su 2015 45 meuro
</t>
        </r>
      </text>
    </comment>
  </commentList>
</comments>
</file>

<file path=xl/comments9.xml><?xml version="1.0" encoding="utf-8"?>
<comments xmlns="http://schemas.openxmlformats.org/spreadsheetml/2006/main">
  <authors>
    <author>Xp Professional Sp2b Italiano</author>
    <author>Marini Giovanni</author>
  </authors>
  <commentList>
    <comment ref="D27" authorId="0">
      <text>
        <r>
          <rPr>
            <sz val="10"/>
            <rFont val="Tahoma"/>
            <family val="2"/>
          </rPr>
          <t>NB. Dato modificato nel corso del monitoraggio al 30 aprile 2015 a seuito di trasmissione file USRC in data 24 giugno 2015 - mail di raffaello fico a sara tremi proietti delle ore 14:03.</t>
        </r>
        <r>
          <rPr>
            <sz val="8"/>
            <rFont val="Tahoma"/>
            <family val="2"/>
          </rPr>
          <t xml:space="preserve">
</t>
        </r>
      </text>
    </comment>
    <comment ref="G74" authorId="0">
      <text>
        <r>
          <rPr>
            <b/>
            <sz val="8"/>
            <rFont val="Tahoma"/>
            <family val="2"/>
          </rPr>
          <t>Accantonamento CIPE 50/2013 interamente assegnato con CIPE 78/2015 per sp obbligatorie</t>
        </r>
      </text>
    </comment>
    <comment ref="H74" authorId="0">
      <text>
        <r>
          <rPr>
            <b/>
            <sz val="8"/>
            <rFont val="Tahoma"/>
            <family val="2"/>
          </rPr>
          <t>Accantonamento CIPE 50/2013 assegnato con CIPE 78/2015 per sp obbligatorie per euro 9.438.968</t>
        </r>
      </text>
    </comment>
    <comment ref="I74" authorId="0">
      <text>
        <r>
          <rPr>
            <b/>
            <sz val="8"/>
            <rFont val="Tahoma"/>
            <family val="2"/>
          </rPr>
          <t xml:space="preserve">Accantonamento CIPE 50/2013 interamente assegnato con CIPE 78/2015 per sp obbligatorie
</t>
        </r>
        <r>
          <rPr>
            <sz val="8"/>
            <rFont val="Tahoma"/>
            <family val="2"/>
          </rPr>
          <t xml:space="preserve">
</t>
        </r>
      </text>
    </comment>
    <comment ref="J74" authorId="0">
      <text>
        <r>
          <rPr>
            <b/>
            <sz val="8"/>
            <rFont val="Tahoma"/>
            <family val="2"/>
          </rPr>
          <t>192.700.000 
- 4% di 192,7 meuro per sviluppo</t>
        </r>
      </text>
    </comment>
    <comment ref="K74" authorId="0">
      <text>
        <r>
          <rPr>
            <b/>
            <sz val="8"/>
            <rFont val="Tahoma"/>
            <family val="2"/>
          </rPr>
          <t>192.700.000 
- 4% di 192,7 meuro per sviluppo</t>
        </r>
      </text>
    </comment>
    <comment ref="L74" authorId="0">
      <text>
        <r>
          <rPr>
            <b/>
            <sz val="8"/>
            <rFont val="Tahoma"/>
            <family val="2"/>
          </rPr>
          <t>192.700.000 
- 4% di 192,7 meuro per sviluppo</t>
        </r>
      </text>
    </comment>
    <comment ref="G75" authorId="1">
      <text>
        <r>
          <rPr>
            <b/>
            <sz val="9"/>
            <rFont val="Tahoma"/>
            <family val="2"/>
          </rPr>
          <t>Marini Giovanni:</t>
        </r>
        <r>
          <rPr>
            <sz val="9"/>
            <rFont val="Tahoma"/>
            <family val="2"/>
          </rPr>
          <t xml:space="preserve">
11.170.402,10 assegnati a spese obbligatorie Aq da CIPE 23/2014 da pub</t>
        </r>
      </text>
    </comment>
    <comment ref="H75" authorId="0">
      <text>
        <r>
          <rPr>
            <sz val="10"/>
            <rFont val="Tahoma"/>
            <family val="2"/>
          </rPr>
          <t>Marini Giovanni:
meno  8,5 meuro DL EELL 78/2015: 7 meuro contr straord AQ,  per 1 milione TASi AQ e meno 0,5 milione TASI C e FC, meno 25.987.211,10 assegnati con CIPE 77/2015 per OOPP.</t>
        </r>
      </text>
    </comment>
    <comment ref="H77" authorId="1">
      <text>
        <r>
          <rPr>
            <b/>
            <sz val="9"/>
            <rFont val="Tahoma"/>
            <family val="2"/>
          </rPr>
          <t>Marini Giovanni:</t>
        </r>
        <r>
          <rPr>
            <sz val="9"/>
            <rFont val="Tahoma"/>
            <family val="2"/>
          </rPr>
          <t xml:space="preserve">
</t>
        </r>
        <r>
          <rPr>
            <sz val="10"/>
            <rFont val="Tahoma"/>
            <family val="2"/>
          </rPr>
          <t xml:space="preserve">200meuro stanziati, meno 6.133.557,67 assegnati dalla 22/15 alla AT
</t>
        </r>
      </text>
    </comment>
    <comment ref="I77" authorId="1">
      <text>
        <r>
          <rPr>
            <b/>
            <sz val="9"/>
            <rFont val="Tahoma"/>
            <family val="2"/>
          </rPr>
          <t>Marini Giovanni:</t>
        </r>
        <r>
          <rPr>
            <sz val="9"/>
            <rFont val="Tahoma"/>
            <family val="2"/>
          </rPr>
          <t xml:space="preserve">
</t>
        </r>
        <r>
          <rPr>
            <sz val="12"/>
            <rFont val="Tahoma"/>
            <family val="2"/>
          </rPr>
          <t>900meuro stanziati -761.000,00 assegnati dalla 22/15 alla AT-assegnazione per sp obbligatorie CIPE 78/2015, euro 13.974.947 - 4% di 900meuro per sviluppo - 11.978.229,91 AT CIPE 113/2015</t>
        </r>
      </text>
    </comment>
    <comment ref="J77" authorId="0">
      <text>
        <r>
          <rPr>
            <b/>
            <sz val="12"/>
            <rFont val="Tahoma"/>
            <family val="2"/>
          </rPr>
          <t>1.100.000 - 4% di 900meuro per sviluppo</t>
        </r>
      </text>
    </comment>
    <comment ref="K77" authorId="0">
      <text>
        <r>
          <rPr>
            <b/>
            <sz val="11"/>
            <rFont val="Tahoma"/>
            <family val="2"/>
          </rPr>
          <t>967.000.000 - 4% per sviluppo</t>
        </r>
        <r>
          <rPr>
            <sz val="8"/>
            <rFont val="Tahoma"/>
            <family val="2"/>
          </rPr>
          <t xml:space="preserve">
</t>
        </r>
      </text>
    </comment>
    <comment ref="L77" authorId="0">
      <text>
        <r>
          <rPr>
            <b/>
            <sz val="8"/>
            <rFont val="Tahoma"/>
            <family val="2"/>
          </rPr>
          <t>967.000.000 - 4% er sviluppo</t>
        </r>
      </text>
    </comment>
    <comment ref="M77" authorId="0">
      <text>
        <r>
          <rPr>
            <b/>
            <sz val="8"/>
            <rFont val="Tahoma"/>
            <family val="2"/>
          </rPr>
          <t>967.000.000 - 4%   per sviluppo</t>
        </r>
      </text>
    </comment>
  </commentList>
</comments>
</file>

<file path=xl/sharedStrings.xml><?xml version="1.0" encoding="utf-8"?>
<sst xmlns="http://schemas.openxmlformats.org/spreadsheetml/2006/main" count="1216" uniqueCount="445">
  <si>
    <t>Anticipo DPC</t>
  </si>
  <si>
    <t>STM 2010</t>
  </si>
  <si>
    <t>STM 2011</t>
  </si>
  <si>
    <t>UCR 2012</t>
  </si>
  <si>
    <t>L'Aquila</t>
  </si>
  <si>
    <t>Acciano</t>
  </si>
  <si>
    <t>Arsita</t>
  </si>
  <si>
    <t>Barete</t>
  </si>
  <si>
    <t>Barisciano</t>
  </si>
  <si>
    <t>Brittoli</t>
  </si>
  <si>
    <t>Bugnara</t>
  </si>
  <si>
    <t>Campotosto</t>
  </si>
  <si>
    <t>Capestrano</t>
  </si>
  <si>
    <t>Capitignano</t>
  </si>
  <si>
    <t>Caporciano</t>
  </si>
  <si>
    <t>Castelli</t>
  </si>
  <si>
    <t>Castelvecchio Calvisio</t>
  </si>
  <si>
    <t>Castelvecchio Subequo</t>
  </si>
  <si>
    <t>Civitella Casanova</t>
  </si>
  <si>
    <t>Cocullo</t>
  </si>
  <si>
    <t>Collarmele</t>
  </si>
  <si>
    <t>Colledara</t>
  </si>
  <si>
    <t>Cugnoli</t>
  </si>
  <si>
    <t>Fagnano Alto</t>
  </si>
  <si>
    <t>Fano Adriano</t>
  </si>
  <si>
    <t>Fontecchio</t>
  </si>
  <si>
    <t>Fossa</t>
  </si>
  <si>
    <t>Gagliano Aterno</t>
  </si>
  <si>
    <t>Goriano Sicoli</t>
  </si>
  <si>
    <t>Lucoli</t>
  </si>
  <si>
    <t>Montebello di Bertona</t>
  </si>
  <si>
    <t>Montereale</t>
  </si>
  <si>
    <t>Montorio al vomano</t>
  </si>
  <si>
    <t>Ocre</t>
  </si>
  <si>
    <t>Ofena</t>
  </si>
  <si>
    <t>Ovindoli</t>
  </si>
  <si>
    <t>Penna Sant'Andrea</t>
  </si>
  <si>
    <t>Pietracamela</t>
  </si>
  <si>
    <t>Pizzoli</t>
  </si>
  <si>
    <t>Poggio Picenze</t>
  </si>
  <si>
    <t>Popoli</t>
  </si>
  <si>
    <t>Prata d'Ansidonia</t>
  </si>
  <si>
    <t>Rocca di Cambio</t>
  </si>
  <si>
    <t>Rocca di Mezzo</t>
  </si>
  <si>
    <t>San Demetrio Ne Vestini</t>
  </si>
  <si>
    <t>San Pio delle Camere</t>
  </si>
  <si>
    <t>Sant'Eusanio Forconese</t>
  </si>
  <si>
    <t>Scoppito</t>
  </si>
  <si>
    <t>Tione degli Abruzzi</t>
  </si>
  <si>
    <t>Tornimparte</t>
  </si>
  <si>
    <t>Torre de Passeri</t>
  </si>
  <si>
    <t>Tossicia</t>
  </si>
  <si>
    <t>Villa Santa Lucia</t>
  </si>
  <si>
    <t>Villa Sant'Angelo</t>
  </si>
  <si>
    <t>Bussi sul Tirino</t>
  </si>
  <si>
    <t>Cagnano Amiterno</t>
  </si>
  <si>
    <t>Carapelle Calvisio</t>
  </si>
  <si>
    <t>Castel del Monte</t>
  </si>
  <si>
    <t>Castel di Ieri</t>
  </si>
  <si>
    <t>USRC 1 rip 2013</t>
  </si>
  <si>
    <t>USRC 2 rip 2013</t>
  </si>
  <si>
    <t>Totale</t>
  </si>
  <si>
    <t>Cipe 135/2012 anno 2013</t>
  </si>
  <si>
    <t>Comuni</t>
  </si>
  <si>
    <t>Altri comuni del cratere</t>
  </si>
  <si>
    <r>
      <t>Trasferimenti del Commissario DR</t>
    </r>
    <r>
      <rPr>
        <sz val="10"/>
        <color indexed="8"/>
        <rFont val="Arial"/>
        <family val="2"/>
      </rPr>
      <t xml:space="preserve">
</t>
    </r>
    <r>
      <rPr>
        <i/>
        <sz val="10"/>
        <color indexed="8"/>
        <rFont val="Arial"/>
        <family val="2"/>
      </rPr>
      <t>Fonte: Relazione finale Commissario Delegato per la Ricostruzione-Presidente della Regione Abruzzo</t>
    </r>
  </si>
  <si>
    <t>Primo trasferimento</t>
  </si>
  <si>
    <t>Secondo
trasferimento</t>
  </si>
  <si>
    <t>USRC 3 rip 2013</t>
  </si>
  <si>
    <t>Totale trasferimenti</t>
  </si>
  <si>
    <t>Santo Stefano di Sessanio</t>
  </si>
  <si>
    <t>Cipe 43/2012</t>
  </si>
  <si>
    <t>Cipe 135/2012</t>
  </si>
  <si>
    <t>D.L. 43/2013 - Cipe 50/2013</t>
  </si>
  <si>
    <t>Comuni fuori cratere</t>
  </si>
  <si>
    <t>Totale autorizzazioni d'impegno</t>
  </si>
  <si>
    <t>CIPE 135/2012</t>
  </si>
  <si>
    <t>IPOTESI DI COPERTURA
Autorizzazioni di impegno</t>
  </si>
  <si>
    <r>
      <t xml:space="preserve">Totale
</t>
    </r>
    <r>
      <rPr>
        <i/>
        <sz val="10"/>
        <color indexed="8"/>
        <rFont val="Arial"/>
        <family val="2"/>
      </rPr>
      <t>Dato DiSET cratere 75meuro</t>
    </r>
  </si>
  <si>
    <t>Anno</t>
  </si>
  <si>
    <t>Comune di L'Aquila</t>
  </si>
  <si>
    <t>TOTALE</t>
  </si>
  <si>
    <t>D.L. 39/2009</t>
  </si>
  <si>
    <t>art. 14, c.1, F.do Strat.</t>
  </si>
  <si>
    <t>Del CIPE 95/2009 - trasferimenti del Commissario delegato per la ricostruzione (*)</t>
  </si>
  <si>
    <t>2010-2012</t>
  </si>
  <si>
    <t>Del CIPE 43/2012</t>
  </si>
  <si>
    <t>Del CIPE 135/2012</t>
  </si>
  <si>
    <t>D.L. 43/2013</t>
  </si>
  <si>
    <t>art. 7-bis</t>
  </si>
  <si>
    <t>L. Stabilità 2014, n. 147/2013</t>
  </si>
  <si>
    <t>art. 1</t>
  </si>
  <si>
    <r>
      <t xml:space="preserve">Stanziamenti/assegnazioni CIPE complessivi
</t>
    </r>
    <r>
      <rPr>
        <i/>
        <sz val="11"/>
        <rFont val="Arial"/>
        <family val="2"/>
      </rPr>
      <t>Canale diretto</t>
    </r>
    <r>
      <rPr>
        <b/>
        <sz val="11"/>
        <rFont val="Arial"/>
        <family val="2"/>
      </rPr>
      <t xml:space="preserve">
(Euro)</t>
    </r>
  </si>
  <si>
    <t>FABBISOGNO</t>
  </si>
  <si>
    <t>A) Totale autorizzazioni d'impegno</t>
  </si>
  <si>
    <t>B) Contributi concessi</t>
  </si>
  <si>
    <t>C) Istruttorie conclusesi positivamente</t>
  </si>
  <si>
    <t>D) Totale
B + C</t>
  </si>
  <si>
    <t>A1) Totale trasferimenti</t>
  </si>
  <si>
    <t>E1) Margine di cassa: A1-D1</t>
  </si>
  <si>
    <t>Altri comuni del cratere (totale)</t>
  </si>
  <si>
    <t xml:space="preserve">    di cui: Ass.ni a singoli comuni</t>
  </si>
  <si>
    <t>L. 147/2013
L. stabilità per il 2014</t>
  </si>
  <si>
    <t>Cipe 135/2012
anni 2014-2015</t>
  </si>
  <si>
    <t>DL 133/2014
Sblocca Italia</t>
  </si>
  <si>
    <t>D.L. 133/2014</t>
  </si>
  <si>
    <t>art. 4, c. 8</t>
  </si>
  <si>
    <t>USRC</t>
  </si>
  <si>
    <t>Del CIPE 1/2014</t>
  </si>
  <si>
    <t>Del CIPE 50/2013</t>
  </si>
  <si>
    <t>Del CIPE 23/2014
(da pub.)</t>
  </si>
  <si>
    <t>D.D.L. Stabilità 2015</t>
  </si>
  <si>
    <r>
      <t xml:space="preserve">Stanziamenti complessivi
</t>
    </r>
    <r>
      <rPr>
        <i/>
        <sz val="11"/>
        <rFont val="Arial"/>
        <family val="2"/>
      </rPr>
      <t>Canale diretto</t>
    </r>
    <r>
      <rPr>
        <b/>
        <sz val="11"/>
        <rFont val="Arial"/>
        <family val="2"/>
      </rPr>
      <t xml:space="preserve">
(Euro)</t>
    </r>
  </si>
  <si>
    <t>ImpDiretto1</t>
  </si>
  <si>
    <t>Cassa</t>
  </si>
  <si>
    <r>
      <t>Altri comuni del cratere
(</t>
    </r>
    <r>
      <rPr>
        <b/>
        <i/>
        <sz val="10"/>
        <color indexed="8"/>
        <rFont val="Arial"/>
        <family val="2"/>
      </rPr>
      <t>gest. USRC)</t>
    </r>
  </si>
  <si>
    <t>Cassa3</t>
  </si>
  <si>
    <t>Cassa FWD</t>
  </si>
  <si>
    <t>E) Margine disponibile per nuovi impegni
A - D</t>
  </si>
  <si>
    <t>STIMA FUTURE EROGAZIONI</t>
  </si>
  <si>
    <t>TOTALE AUTORIZZATO
(e tetto massimo erogazioni per anno)</t>
  </si>
  <si>
    <t>B. CUMULATA STIMA EROGAZIONI FUTURE</t>
  </si>
  <si>
    <t>DIFFERENZA (A - B)</t>
  </si>
  <si>
    <t>A. TOTALE AUTORIZZATO CUMULATO NEL TEMPO</t>
  </si>
  <si>
    <t>Quadro D - TOTALE RISORSE STANZIATE</t>
  </si>
  <si>
    <t>L. 190/2014 - L. stabilità 2015</t>
  </si>
  <si>
    <r>
      <t xml:space="preserve">Autorizzazioni di impegno pregresse e proposta di copertura fabbisogno sett - dic 2014
</t>
    </r>
    <r>
      <rPr>
        <b/>
        <i/>
        <sz val="16"/>
        <rFont val="Times New Roman"/>
        <family val="1"/>
      </rPr>
      <t>(Rif. Nota. Prot. XXX)</t>
    </r>
  </si>
  <si>
    <r>
      <t xml:space="preserve">Stanziamenti/atti di assegnazione CIPE complessivi
</t>
    </r>
    <r>
      <rPr>
        <i/>
        <sz val="11"/>
        <rFont val="Arial"/>
        <family val="2"/>
      </rPr>
      <t>Canale diretto</t>
    </r>
    <r>
      <rPr>
        <b/>
        <sz val="11"/>
        <rFont val="Arial"/>
        <family val="2"/>
      </rPr>
      <t xml:space="preserve">
(Euro)</t>
    </r>
  </si>
  <si>
    <t xml:space="preserve">Proposta di copertura </t>
  </si>
  <si>
    <r>
      <t>Proposta di copertura
(</t>
    </r>
    <r>
      <rPr>
        <b/>
        <i/>
        <sz val="10"/>
        <rFont val="Arial"/>
        <family val="2"/>
      </rPr>
      <t>sola competenza</t>
    </r>
    <r>
      <rPr>
        <b/>
        <sz val="10"/>
        <rFont val="Arial"/>
        <family val="2"/>
      </rPr>
      <t xml:space="preserve">)
</t>
    </r>
  </si>
  <si>
    <t>art. 1, Tabella E</t>
  </si>
  <si>
    <t xml:space="preserve">    di cui: Gest. USRC</t>
  </si>
  <si>
    <t>Del CIPE 23/2014</t>
  </si>
  <si>
    <t>F) Stima impegni medi mensili
(*)</t>
  </si>
  <si>
    <t>H) Fabbisogno
da coprire con ulteriori assegnazioni
G - E (**)</t>
  </si>
  <si>
    <t>RISORSE</t>
  </si>
  <si>
    <t>L. 190/2014
L. stabilità per il 2015</t>
  </si>
  <si>
    <t>Aggiornamento: seduta CIPE 20 febbraio 2015</t>
  </si>
  <si>
    <t>Aggiornamento: nota DiSET 83 del 26-1-2015 e bozza richiesta trasf per FC del 6-3-2015</t>
  </si>
  <si>
    <t>CIPE 95/2009</t>
  </si>
  <si>
    <t>CIPE 43/2013</t>
  </si>
  <si>
    <t>Annualità Delibera/Specifica</t>
  </si>
  <si>
    <t>Anticipazione DPC</t>
  </si>
  <si>
    <t xml:space="preserve">Trasferimenti STM </t>
  </si>
  <si>
    <t>Trasferimenti UCR</t>
  </si>
  <si>
    <t>Trasferimenti DISET Decreto 2319/2012</t>
  </si>
  <si>
    <t>Trasferimenti DISET</t>
  </si>
  <si>
    <t>2013-1°</t>
  </si>
  <si>
    <t>cs 5281  (decreto diset n.48 art.9)*</t>
  </si>
  <si>
    <t>(residuo decreto diset 2319/2012)*</t>
  </si>
  <si>
    <t>2013-2°*</t>
  </si>
  <si>
    <t>cs 5281  (decreto diset n. 48 art.9)*</t>
  </si>
  <si>
    <t xml:space="preserve"> (residuo decreto diset 2319/2012)*</t>
  </si>
  <si>
    <t>CodIstat</t>
  </si>
  <si>
    <t>Nord</t>
  </si>
  <si>
    <t>068001</t>
  </si>
  <si>
    <t>Abbateggio</t>
  </si>
  <si>
    <t>066002</t>
  </si>
  <si>
    <t>Aielli</t>
  </si>
  <si>
    <t>068002</t>
  </si>
  <si>
    <t>Alanno</t>
  </si>
  <si>
    <t>067002</t>
  </si>
  <si>
    <t>Ancarano</t>
  </si>
  <si>
    <t>066004</t>
  </si>
  <si>
    <t>Anversa degli Abruzzi</t>
  </si>
  <si>
    <t>067004</t>
  </si>
  <si>
    <t>Atri</t>
  </si>
  <si>
    <t>066006</t>
  </si>
  <si>
    <t>Avezzano</t>
  </si>
  <si>
    <t>067005</t>
  </si>
  <si>
    <t>Basciano</t>
  </si>
  <si>
    <t>067006</t>
  </si>
  <si>
    <t>Bellante</t>
  </si>
  <si>
    <t>066011</t>
  </si>
  <si>
    <t>Bisegna</t>
  </si>
  <si>
    <t>067007</t>
  </si>
  <si>
    <t>Bisenti</t>
  </si>
  <si>
    <t>068003</t>
  </si>
  <si>
    <t>Bolognano</t>
  </si>
  <si>
    <t>066014</t>
  </si>
  <si>
    <t>Calascio</t>
  </si>
  <si>
    <t>067008</t>
  </si>
  <si>
    <t>Campli</t>
  </si>
  <si>
    <t>066018</t>
  </si>
  <si>
    <t>Cansano</t>
  </si>
  <si>
    <t>067009</t>
  </si>
  <si>
    <t>Canzano</t>
  </si>
  <si>
    <t>066020</t>
  </si>
  <si>
    <t>Capistrello</t>
  </si>
  <si>
    <t>068007</t>
  </si>
  <si>
    <t>Caramanico Terme</t>
  </si>
  <si>
    <t>068008</t>
  </si>
  <si>
    <t>Carpineto della Nora</t>
  </si>
  <si>
    <t>066025</t>
  </si>
  <si>
    <t>Carsoli</t>
  </si>
  <si>
    <t>067010</t>
  </si>
  <si>
    <t>Castel Castagna</t>
  </si>
  <si>
    <t>066028</t>
  </si>
  <si>
    <t>Castel di Sangro</t>
  </si>
  <si>
    <t>066029</t>
  </si>
  <si>
    <t>Castellafiume</t>
  </si>
  <si>
    <t>067011</t>
  </si>
  <si>
    <t>Castellalto</t>
  </si>
  <si>
    <t>068009</t>
  </si>
  <si>
    <t>Castiglione a Casauria</t>
  </si>
  <si>
    <t>067013</t>
  </si>
  <si>
    <t>Castiglione Messer Raimondo</t>
  </si>
  <si>
    <t>067014</t>
  </si>
  <si>
    <t>Castilenti</t>
  </si>
  <si>
    <t>068010</t>
  </si>
  <si>
    <t>Catignano</t>
  </si>
  <si>
    <t>066032</t>
  </si>
  <si>
    <t>Celano</t>
  </si>
  <si>
    <t>067015</t>
  </si>
  <si>
    <t>Cellino Attanasio</t>
  </si>
  <si>
    <t>068011</t>
  </si>
  <si>
    <t>Cepagatti</t>
  </si>
  <si>
    <t>066033</t>
  </si>
  <si>
    <t>Cerchio</t>
  </si>
  <si>
    <t>067016</t>
  </si>
  <si>
    <t>Cermignano</t>
  </si>
  <si>
    <t>069022</t>
  </si>
  <si>
    <t>Chieti</t>
  </si>
  <si>
    <t>068012</t>
  </si>
  <si>
    <t>Citta' Sant'Angelo</t>
  </si>
  <si>
    <t>068013</t>
  </si>
  <si>
    <t>Civitaquana</t>
  </si>
  <si>
    <t>067017</t>
  </si>
  <si>
    <t>Civitella del Tronto</t>
  </si>
  <si>
    <t>068015</t>
  </si>
  <si>
    <t>Collecorvino</t>
  </si>
  <si>
    <t>066039</t>
  </si>
  <si>
    <t>Collelongo</t>
  </si>
  <si>
    <t>066040</t>
  </si>
  <si>
    <t>Collepietro</t>
  </si>
  <si>
    <t>067020</t>
  </si>
  <si>
    <t>Controguerra</t>
  </si>
  <si>
    <t>066041</t>
  </si>
  <si>
    <t>Corfinio</t>
  </si>
  <si>
    <t>067021</t>
  </si>
  <si>
    <t>Corropoli</t>
  </si>
  <si>
    <t>067022</t>
  </si>
  <si>
    <t>Cortino</t>
  </si>
  <si>
    <t>068016</t>
  </si>
  <si>
    <t>Corvara</t>
  </si>
  <si>
    <t>067023</t>
  </si>
  <si>
    <t>Crognaleto</t>
  </si>
  <si>
    <t>068018</t>
  </si>
  <si>
    <t>Elice</t>
  </si>
  <si>
    <t>068019</t>
  </si>
  <si>
    <t>Farindola</t>
  </si>
  <si>
    <t>066046</t>
  </si>
  <si>
    <t>Gioia dei Marsi</t>
  </si>
  <si>
    <t>069043</t>
  </si>
  <si>
    <t>Guardiagrele</t>
  </si>
  <si>
    <t>066048</t>
  </si>
  <si>
    <t>Introdacqua</t>
  </si>
  <si>
    <t>067026</t>
  </si>
  <si>
    <t>Isola del Gran Sasso d'Italia</t>
  </si>
  <si>
    <t>068020</t>
  </si>
  <si>
    <t>Lettomanoppello</t>
  </si>
  <si>
    <t>069048</t>
  </si>
  <si>
    <t>Lettopalena</t>
  </si>
  <si>
    <t>068021</t>
  </si>
  <si>
    <t>Loreto Aprutino</t>
  </si>
  <si>
    <t>066053</t>
  </si>
  <si>
    <t>Magliano de' Marsi</t>
  </si>
  <si>
    <t>068022</t>
  </si>
  <si>
    <t>Manoppello</t>
  </si>
  <si>
    <t>066054</t>
  </si>
  <si>
    <t>Massa d'Albe</t>
  </si>
  <si>
    <t>066055</t>
  </si>
  <si>
    <t>Molina Aterno</t>
  </si>
  <si>
    <t>067027</t>
  </si>
  <si>
    <t>Montefino</t>
  </si>
  <si>
    <t>068024</t>
  </si>
  <si>
    <t>Montesilvano</t>
  </si>
  <si>
    <t>067029</t>
  </si>
  <si>
    <t>Morro d'Oro</t>
  </si>
  <si>
    <t>067030</t>
  </si>
  <si>
    <t>Mosciano Sant'Angelo</t>
  </si>
  <si>
    <t>068025</t>
  </si>
  <si>
    <t>Moscufo</t>
  </si>
  <si>
    <t>067031</t>
  </si>
  <si>
    <t>Nereto</t>
  </si>
  <si>
    <t>068026</t>
  </si>
  <si>
    <t>Nocciano</t>
  </si>
  <si>
    <t>067032</t>
  </si>
  <si>
    <t>Notaresco</t>
  </si>
  <si>
    <t>066063</t>
  </si>
  <si>
    <t>Ortona dei Marsi</t>
  </si>
  <si>
    <t>066064</t>
  </si>
  <si>
    <t>Ortucchio</t>
  </si>
  <si>
    <t>066066</t>
  </si>
  <si>
    <t>Pacentro</t>
  </si>
  <si>
    <t>068027</t>
  </si>
  <si>
    <t>Penne</t>
  </si>
  <si>
    <t>068028</t>
  </si>
  <si>
    <t>Pescara</t>
  </si>
  <si>
    <t>066069</t>
  </si>
  <si>
    <t>Pescina</t>
  </si>
  <si>
    <t>068029</t>
  </si>
  <si>
    <t>Pescosansonesco</t>
  </si>
  <si>
    <t>066071</t>
  </si>
  <si>
    <t>Pettorano sul Gizio</t>
  </si>
  <si>
    <t>068030</t>
  </si>
  <si>
    <t>Pianella</t>
  </si>
  <si>
    <t>068031</t>
  </si>
  <si>
    <t>Picciano</t>
  </si>
  <si>
    <t>068032</t>
  </si>
  <si>
    <t>Pietranico</t>
  </si>
  <si>
    <t>066075</t>
  </si>
  <si>
    <t>Pratola Peligna</t>
  </si>
  <si>
    <t>066076</t>
  </si>
  <si>
    <t>Prezza</t>
  </si>
  <si>
    <t>066077</t>
  </si>
  <si>
    <t>Raiano</t>
  </si>
  <si>
    <t>066083</t>
  </si>
  <si>
    <t>Rocca Pia</t>
  </si>
  <si>
    <t>067036</t>
  </si>
  <si>
    <t>Rocca Santa Maria</t>
  </si>
  <si>
    <t>066079</t>
  </si>
  <si>
    <t>Roccacasale</t>
  </si>
  <si>
    <t>068034</t>
  </si>
  <si>
    <t>Roccamorice</t>
  </si>
  <si>
    <t>068035</t>
  </si>
  <si>
    <t>Rosciano</t>
  </si>
  <si>
    <t>066085</t>
  </si>
  <si>
    <t>San Benedetto dei Marsi</t>
  </si>
  <si>
    <t>066086</t>
  </si>
  <si>
    <t>San Benedetto in Perillis</t>
  </si>
  <si>
    <t>069081</t>
  </si>
  <si>
    <t>San Giovanni Teatino</t>
  </si>
  <si>
    <t>068038</t>
  </si>
  <si>
    <t>San Valentino in Abruzzo Citeriore</t>
  </si>
  <si>
    <t>066089</t>
  </si>
  <si>
    <t>Sante Marie</t>
  </si>
  <si>
    <t>067038</t>
  </si>
  <si>
    <t>Sant'Egidio alla Vibrata</t>
  </si>
  <si>
    <t>068037</t>
  </si>
  <si>
    <t>Sant'Eufemia a Maiella</t>
  </si>
  <si>
    <t>068039</t>
  </si>
  <si>
    <t>Scafa</t>
  </si>
  <si>
    <t>066093</t>
  </si>
  <si>
    <t>Scanno</t>
  </si>
  <si>
    <t>066096</t>
  </si>
  <si>
    <t>Scurcola Marsicana</t>
  </si>
  <si>
    <t>066097</t>
  </si>
  <si>
    <t>Secinaro</t>
  </si>
  <si>
    <t>066098</t>
  </si>
  <si>
    <t>Sulmona</t>
  </si>
  <si>
    <t>067041</t>
  </si>
  <si>
    <t>Teramo</t>
  </si>
  <si>
    <t>068042</t>
  </si>
  <si>
    <t>Tocco da Casauria</t>
  </si>
  <si>
    <t>067042</t>
  </si>
  <si>
    <t>Torano Nuovo</t>
  </si>
  <si>
    <t>067043</t>
  </si>
  <si>
    <t>Torricella Sicura</t>
  </si>
  <si>
    <t>066102</t>
  </si>
  <si>
    <t>Trasacco</t>
  </si>
  <si>
    <t>068044</t>
  </si>
  <si>
    <t>Turrivalignani</t>
  </si>
  <si>
    <t>067046</t>
  </si>
  <si>
    <t>Valle Castellana</t>
  </si>
  <si>
    <t>068045</t>
  </si>
  <si>
    <t>Vicoli</t>
  </si>
  <si>
    <t>068046</t>
  </si>
  <si>
    <t>Villa Celiera</t>
  </si>
  <si>
    <t>066103</t>
  </si>
  <si>
    <t>Villalago</t>
  </si>
  <si>
    <t>066106</t>
  </si>
  <si>
    <t>Villavallelonga</t>
  </si>
  <si>
    <t>066108</t>
  </si>
  <si>
    <t>Vittorito</t>
  </si>
  <si>
    <t>Aggto alla: richiesta DiSET/SdM 83 del 26/01/2015</t>
  </si>
  <si>
    <t>Totale CIPE 95/2009</t>
  </si>
  <si>
    <t>Totale CIPE 43/2012</t>
  </si>
  <si>
    <t>Totale CIPE 135/2012</t>
  </si>
  <si>
    <t>Fonte finanziaria o delibera CIPE fino alla 135/2012</t>
  </si>
  <si>
    <t>DL 43/2013 - CIPE 50/2013</t>
  </si>
  <si>
    <t>Totale DL 43/2013 - CIPE 50/2013</t>
  </si>
  <si>
    <t>L 147/2013 - Stabilità per il 2014</t>
  </si>
  <si>
    <t>Totale L 147/2013 - Stabilità per il 2014</t>
  </si>
  <si>
    <t>L 190/2014 - Stabilità per il 2015</t>
  </si>
  <si>
    <t>Totale L 190/2014 - Stabilità per il 2015</t>
  </si>
  <si>
    <t>TOTALE GENERALE</t>
  </si>
  <si>
    <t>Riga di controllo somma vert</t>
  </si>
  <si>
    <t>Aggto alla: seduta CIPE 20 feb 2015, del 22/2015</t>
  </si>
  <si>
    <t>Del CIPE 22/2015</t>
  </si>
  <si>
    <t>Navelli*</t>
  </si>
  <si>
    <t>TOTALE EROGAZIONI
monitoraggio 31 dicembre 2014</t>
  </si>
  <si>
    <t>Quadro A - Comune di L'Aquila - autorizzazioni di impegno e disponibilità di cassa</t>
  </si>
  <si>
    <t>Quadro B - Altri comuni del cratere - autorizzazioni di impegno e disponibilità di cassa</t>
  </si>
  <si>
    <t>Quadro C - Comuni fuori cratere - autorizzazioni di impegno e disponibilità di cassa</t>
  </si>
  <si>
    <t>** Per il comune di Navelli nella colonna UCR 2012 è riportato il trasferimento da Decreto Diset n. 48 del 14.03.2013, capo I art. 9 comma 1. Riparto delle risorse residue per l'edilizia privata: pratiche in giacenza presso le strutture commissariali prima della fine dello stato di emergenza.</t>
  </si>
  <si>
    <t>Arsita*</t>
  </si>
  <si>
    <t>Bugnara**</t>
  </si>
  <si>
    <t>Navelli***</t>
  </si>
  <si>
    <t>*** Per il comune di Navelli nella colonna UCR 2012 è riportato il trasferimento da Decreto Diset n. 48 del 14.03.2013, capo I art. 9 comma 1. Riparto delle risorse residue per l'edilizia privata: pratiche in giacenza presso le strutture commissariali prima della fine dello stato di emergenza.</t>
  </si>
  <si>
    <t>** Per il comune di Bugnara, in applicazione del'art. 4 della CIPE 23/2014, sono stati trasferite risorse riferibili alla CIPE 135/2012 annualità 2014 a parziale copertura delle assegnazioni effetuate a valere sull'annualità 2014 della CIPE 50/2013.</t>
  </si>
  <si>
    <t>* Per il comune di Arsita nella colonna DPC sono stati aggiunti € 142,470,76 trasferiti in anticipazione e autorizzati per utilizzo privata con nota Prot. n. 70812 del 25/11/2009 del Vice Commissario delegato ex art. 3 dell’OCPM n. 3761.</t>
  </si>
  <si>
    <t>Quadro E - TOTALE RISORSE DISPONIBILI E DI CUI AUTORIZZARE L'IMPEGNO
(E = D-A-B-C)</t>
  </si>
  <si>
    <r>
      <t xml:space="preserve">Analisi temporale delle risorse assegnate per l'edilizia privata su "canale diretto" e dei relativi flussi di cassa
</t>
    </r>
    <r>
      <rPr>
        <i/>
        <sz val="18"/>
        <rFont val="Times New Roman"/>
        <family val="1"/>
      </rPr>
      <t>(aggiornata alle delibere CIPE 77 e 78 del 2015, in corso di registrazione presso gli organi di controllo)</t>
    </r>
  </si>
  <si>
    <t>Stanziamenti complessivi
Canale diretto
(Euro)</t>
  </si>
  <si>
    <t>L. Stabilità 2015, n. 190/2014</t>
  </si>
  <si>
    <r>
      <t xml:space="preserve">Analisi temporale delle risorse assegnate per l'edilizia privata su "canale diretto" e dei relativi flussi di cassa
</t>
    </r>
    <r>
      <rPr>
        <i/>
        <sz val="18"/>
        <rFont val="Times New Roman"/>
        <family val="1"/>
      </rPr>
      <t>(aggiornata alle delibere CIPE 77 e 78 del 2015, in corso di registrazione presso gli organi di controllo e al D.L.78/2015, art. 11)</t>
    </r>
  </si>
  <si>
    <t>Quadro E - SIMULAZIONE TOTALE RISORSE RESIDUE DI CUI AUTORIZZARE L'IMPEGNO A SEGUITO DELLA NUOVA ASSEGNAZIONE FONDI</t>
  </si>
  <si>
    <t>Altri comuni del cratere
(gest. USRC)</t>
  </si>
  <si>
    <t>Comuni fuori cratere
(gest. USRC)</t>
  </si>
  <si>
    <t>D.L. 43/2013 - art. 7bis</t>
  </si>
  <si>
    <t>San Martino sulla Marrucina</t>
  </si>
  <si>
    <t>Ed Privata</t>
  </si>
  <si>
    <t>Obbligatorie</t>
  </si>
  <si>
    <t>AT</t>
  </si>
  <si>
    <t>Ed pubblica</t>
  </si>
  <si>
    <t>cipe 22/2015</t>
  </si>
  <si>
    <t>CIPE 23 dicembre</t>
  </si>
  <si>
    <t xml:space="preserve">CIPE 78/2015
</t>
  </si>
  <si>
    <t>CIPE 77/2015</t>
  </si>
  <si>
    <t>Delibera 113/2015 (in corso di reg)</t>
  </si>
  <si>
    <t>MEDIE MENSILI E FABBISOGNO</t>
  </si>
  <si>
    <t>MARGINI</t>
  </si>
  <si>
    <t>SIMULAZIONE</t>
  </si>
  <si>
    <t>TOTALE EROGAZIONI
dati di monitoraggio al 31 dicembre</t>
  </si>
  <si>
    <t>2018
D)</t>
  </si>
  <si>
    <t>2016
E)</t>
  </si>
  <si>
    <t>2017
F)</t>
  </si>
  <si>
    <t>2018
G)</t>
  </si>
  <si>
    <t xml:space="preserve">Fabbisogno marzo 2016 - dicembre 2017 da coprire con ulteriori assegnazioni
Col. H della tab. 1
A) </t>
  </si>
  <si>
    <r>
      <t xml:space="preserve">Tab. 2: Ipotesi di copertura del fabbisogno per competenza
</t>
    </r>
    <r>
      <rPr>
        <i/>
        <sz val="14"/>
        <color indexed="8"/>
        <rFont val="Times New Roman"/>
        <family val="1"/>
      </rPr>
      <t>marzo 2016 - dicembre 2017: istruttorie concluse e ulteriori impegni successivi fino a dicembre 2017)</t>
    </r>
  </si>
  <si>
    <t>Del CIPE 113/2015</t>
  </si>
  <si>
    <r>
      <t xml:space="preserve">D.L. 43/2013 - 
Cipe 50/2013 - </t>
    </r>
    <r>
      <rPr>
        <b/>
        <sz val="10"/>
        <color indexed="10"/>
        <rFont val="Arial"/>
        <family val="2"/>
      </rPr>
      <t>CIPE 23/2014 - CIPE 22/2015 - CIPE 113/2015- CIPE 1/2014</t>
    </r>
  </si>
  <si>
    <r>
      <t xml:space="preserve">DL 133/2014
Sblocca Italia
</t>
    </r>
    <r>
      <rPr>
        <b/>
        <sz val="10"/>
        <color indexed="10"/>
        <rFont val="Arial"/>
        <family val="2"/>
      </rPr>
      <t>CIPE 22/2015</t>
    </r>
  </si>
  <si>
    <t>Tollo</t>
  </si>
  <si>
    <r>
      <t xml:space="preserve">DL 133/2014
Sblocca Italia
</t>
    </r>
    <r>
      <rPr>
        <b/>
        <sz val="11"/>
        <color indexed="10"/>
        <rFont val="Calibri"/>
        <family val="2"/>
      </rPr>
      <t>CIPE 22/2015</t>
    </r>
  </si>
  <si>
    <t>Giulianova</t>
  </si>
  <si>
    <r>
      <t xml:space="preserve">L. 190/2014
L. stabilità per il 2015
</t>
    </r>
    <r>
      <rPr>
        <b/>
        <sz val="10"/>
        <color indexed="10"/>
        <rFont val="Arial"/>
        <family val="2"/>
      </rPr>
      <t>CIPE 22/2015 - CIPE 113/2015 - CIPE 58/2017</t>
    </r>
  </si>
  <si>
    <r>
      <rPr>
        <b/>
        <sz val="10"/>
        <rFont val="Arial"/>
        <family val="2"/>
      </rPr>
      <t xml:space="preserve">D1) </t>
    </r>
    <r>
      <rPr>
        <sz val="10"/>
        <rFont val="Arial"/>
        <family val="2"/>
      </rPr>
      <t>Risorse erogate dai comuni</t>
    </r>
  </si>
  <si>
    <t>Tortoreto</t>
  </si>
  <si>
    <t>G) Fabbisogno di risorse
 Fx24</t>
  </si>
  <si>
    <r>
      <t xml:space="preserve">UTILIZZI  </t>
    </r>
    <r>
      <rPr>
        <sz val="10"/>
        <rFont val="Arial"/>
        <family val="2"/>
      </rPr>
      <t xml:space="preserve"> (ex monitoraggio al 28 febbraio 2019)</t>
    </r>
  </si>
  <si>
    <t>(**) il fabbisogno da finanziare di cui alla colonna H relativo all'area del cratere e del fuori cratere, è stato calcolato sottraendo al fabbisogno complessivo dei Comuni di cui alla colonna G, il margine disponibile relativo alla sola gestione USRC in quanto le riosrse disponibili rivenienti da assegnazioni pregresse ai singoli Comuni riguardano enti locali in ritardo con la concessione dei contributi ai privati e pertanto non sono utilizzabili con la flessibilità necessaria per  sopperire alle esigenze degli altri Comuni del cratere e del fuori cratere</t>
  </si>
  <si>
    <t>(*) la stima degli impegni medi mensili nel periodo di riferimento (col. F) è stata calcolata sulla base della media mensile dei contributi (valore monetario) concessi-istruiti positivamente per ogni ambito territoriale effettuata sugli ultimi 6 mesi.</t>
  </si>
  <si>
    <r>
      <t xml:space="preserve">Tab. 1: Risultati del monitoraggio sull'utilizzo delle risorse assegnate-margini disponibili di risorse non ancora utilizzate- fabbisogni -fabbisogni da coprire 
</t>
    </r>
    <r>
      <rPr>
        <sz val="14"/>
        <rFont val="Times New Roman"/>
        <family val="1"/>
      </rPr>
      <t xml:space="preserve">
ex monitoraggio al 28 febbraio 2019 (euro)</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</si>
</sst>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0_-;\-&quot;£&quot;\ * #,##0.0_-;_-&quot;£&quot;\ * &quot;-&quot;??_-;_-@_-"/>
    <numFmt numFmtId="179" formatCode="_-* #,##0_-;\-* #,##0_-;_-* &quot;-&quot;??_-;_-@_-"/>
    <numFmt numFmtId="180" formatCode="#,##0_ ;\-#,##0\ "/>
    <numFmt numFmtId="181" formatCode="#,##0.000"/>
    <numFmt numFmtId="182" formatCode="#,##0.0"/>
    <numFmt numFmtId="183" formatCode="0.0%"/>
    <numFmt numFmtId="184" formatCode="0.0"/>
    <numFmt numFmtId="185" formatCode="0.000"/>
    <numFmt numFmtId="186" formatCode="&quot;Sì&quot;;&quot;Sì&quot;;&quot;No&quot;"/>
    <numFmt numFmtId="187" formatCode="&quot;Vero&quot;;&quot;Vero&quot;;&quot;Falso&quot;"/>
    <numFmt numFmtId="188" formatCode="&quot;Attivo&quot;;&quot;Attivo&quot;;&quot;Disattivo&quot;"/>
    <numFmt numFmtId="189" formatCode="[$€-2]\ #.##000_);[Red]\([$€-2]\ #.##000\)"/>
    <numFmt numFmtId="190" formatCode="_(* #,##0.00_);_(* \(#,##0.00\);_(* &quot;-&quot;??_);_(@_)"/>
    <numFmt numFmtId="191" formatCode="_(* #,##0_);_(* \(#,##0\);_(* &quot;-&quot;_);_(@_)"/>
    <numFmt numFmtId="192" formatCode="_(&quot;$&quot;* #,##0.00_);_(&quot;$&quot;* \(#,##0.00\);_(&quot;$&quot;* &quot;-&quot;??_);_(@_)"/>
    <numFmt numFmtId="193" formatCode="_(&quot;$&quot;* #,##0_);_(&quot;$&quot;* \(#,##0\);_(&quot;$&quot;* &quot;-&quot;_);_(@_)"/>
    <numFmt numFmtId="194" formatCode="#,##0.0000"/>
    <numFmt numFmtId="195" formatCode="#,##0.00000"/>
    <numFmt numFmtId="196" formatCode="#,##0.000000"/>
    <numFmt numFmtId="197" formatCode="&quot;Attivo&quot;;&quot;Attivo&quot;;&quot;Inattivo&quot;"/>
    <numFmt numFmtId="198" formatCode="_-* #,##0.0_-;\-* #,##0.0_-;_-* &quot;-&quot;??_-;_-@_-"/>
    <numFmt numFmtId="199" formatCode="#,##0.00_ ;\-#,##0.00\ "/>
    <numFmt numFmtId="200" formatCode="#,##0.00;[Red]#,##0.00"/>
    <numFmt numFmtId="201" formatCode="#,##0.0000000"/>
    <numFmt numFmtId="202" formatCode="[$-410]dddd\ d\ mmmm\ yyyy"/>
    <numFmt numFmtId="203" formatCode="hh\.mm\.ss"/>
    <numFmt numFmtId="204" formatCode="[$-809]dd\ mmmm\ yyyy"/>
  </numFmts>
  <fonts count="80">
    <font>
      <sz val="11"/>
      <color theme="1"/>
      <name val="Calibri"/>
      <family val="2"/>
    </font>
    <font>
      <sz val="11"/>
      <color indexed="8"/>
      <name val="Calibri"/>
      <family val="2"/>
    </font>
    <font>
      <sz val="8"/>
      <name val="Calibri"/>
      <family val="2"/>
    </font>
    <font>
      <sz val="10"/>
      <color indexed="8"/>
      <name val="Arial"/>
      <family val="2"/>
    </font>
    <font>
      <b/>
      <sz val="10"/>
      <color indexed="8"/>
      <name val="Arial"/>
      <family val="2"/>
    </font>
    <font>
      <b/>
      <i/>
      <sz val="10"/>
      <color indexed="8"/>
      <name val="Arial"/>
      <family val="2"/>
    </font>
    <font>
      <i/>
      <sz val="10"/>
      <color indexed="8"/>
      <name val="Arial"/>
      <family val="2"/>
    </font>
    <font>
      <b/>
      <sz val="12"/>
      <color indexed="8"/>
      <name val="Arial"/>
      <family val="2"/>
    </font>
    <font>
      <b/>
      <sz val="14"/>
      <color indexed="8"/>
      <name val="Times New Roman"/>
      <family val="1"/>
    </font>
    <font>
      <u val="single"/>
      <sz val="10"/>
      <color indexed="12"/>
      <name val="Arial"/>
      <family val="2"/>
    </font>
    <font>
      <u val="single"/>
      <sz val="10"/>
      <color indexed="36"/>
      <name val="Arial"/>
      <family val="2"/>
    </font>
    <font>
      <sz val="10"/>
      <name val="Arial"/>
      <family val="2"/>
    </font>
    <font>
      <i/>
      <sz val="11"/>
      <name val="Arial"/>
      <family val="2"/>
    </font>
    <font>
      <b/>
      <sz val="11"/>
      <name val="Arial"/>
      <family val="2"/>
    </font>
    <font>
      <b/>
      <sz val="10"/>
      <name val="Arial"/>
      <family val="2"/>
    </font>
    <font>
      <sz val="10"/>
      <name val="Calibri"/>
      <family val="2"/>
    </font>
    <font>
      <b/>
      <sz val="11"/>
      <color indexed="8"/>
      <name val="Arial"/>
      <family val="2"/>
    </font>
    <font>
      <b/>
      <sz val="12"/>
      <name val="Arial"/>
      <family val="2"/>
    </font>
    <font>
      <i/>
      <sz val="14"/>
      <color indexed="8"/>
      <name val="Times New Roman"/>
      <family val="1"/>
    </font>
    <font>
      <sz val="9"/>
      <name val="Tahoma"/>
      <family val="2"/>
    </font>
    <font>
      <b/>
      <sz val="9"/>
      <name val="Tahoma"/>
      <family val="2"/>
    </font>
    <font>
      <b/>
      <i/>
      <sz val="10"/>
      <name val="Arial"/>
      <family val="2"/>
    </font>
    <font>
      <b/>
      <sz val="18"/>
      <name val="Times New Roman"/>
      <family val="1"/>
    </font>
    <font>
      <sz val="8"/>
      <name val="Tahoma"/>
      <family val="2"/>
    </font>
    <font>
      <b/>
      <sz val="8"/>
      <name val="Tahoma"/>
      <family val="2"/>
    </font>
    <font>
      <b/>
      <i/>
      <sz val="16"/>
      <name val="Times New Roman"/>
      <family val="1"/>
    </font>
    <font>
      <i/>
      <sz val="18"/>
      <name val="Times New Roman"/>
      <family val="1"/>
    </font>
    <font>
      <sz val="10"/>
      <name val="Tahoma"/>
      <family val="2"/>
    </font>
    <font>
      <sz val="11"/>
      <name val="Calibri"/>
      <family val="2"/>
    </font>
    <font>
      <sz val="11"/>
      <name val="Arial"/>
      <family val="2"/>
    </font>
    <font>
      <sz val="12"/>
      <name val="Tahoma"/>
      <family val="2"/>
    </font>
    <font>
      <b/>
      <sz val="11"/>
      <name val="Tahoma"/>
      <family val="2"/>
    </font>
    <font>
      <b/>
      <sz val="12"/>
      <name val="Tahoma"/>
      <family val="2"/>
    </font>
    <font>
      <b/>
      <sz val="11"/>
      <color indexed="8"/>
      <name val="Calibri"/>
      <family val="2"/>
    </font>
    <font>
      <b/>
      <sz val="11"/>
      <name val="Calibri"/>
      <family val="2"/>
    </font>
    <font>
      <b/>
      <sz val="10"/>
      <color indexed="8"/>
      <name val="Calibri"/>
      <family val="2"/>
    </font>
    <font>
      <b/>
      <sz val="16"/>
      <color indexed="8"/>
      <name val="Calibri"/>
      <family val="2"/>
    </font>
    <font>
      <sz val="10"/>
      <color indexed="8"/>
      <name val="Calibri"/>
      <family val="2"/>
    </font>
    <font>
      <b/>
      <i/>
      <sz val="12"/>
      <color indexed="8"/>
      <name val="Calibri"/>
      <family val="2"/>
    </font>
    <font>
      <b/>
      <i/>
      <sz val="11"/>
      <color indexed="8"/>
      <name val="Calibri"/>
      <family val="2"/>
    </font>
    <font>
      <b/>
      <sz val="10"/>
      <color indexed="10"/>
      <name val="Arial"/>
      <family val="2"/>
    </font>
    <font>
      <b/>
      <sz val="14"/>
      <name val="Tahoma"/>
      <family val="2"/>
    </font>
    <font>
      <sz val="14"/>
      <name val="Tahoma"/>
      <family val="2"/>
    </font>
    <font>
      <b/>
      <sz val="11"/>
      <color indexed="10"/>
      <name val="Calibri"/>
      <family val="2"/>
    </font>
    <font>
      <sz val="11"/>
      <color indexed="10"/>
      <name val="Calibri"/>
      <family val="2"/>
    </font>
    <font>
      <sz val="12"/>
      <color indexed="8"/>
      <name val="Times New Roman"/>
      <family val="1"/>
    </font>
    <font>
      <b/>
      <sz val="14"/>
      <name val="Times New Roman"/>
      <family val="1"/>
    </font>
    <font>
      <sz val="14"/>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4"/>
      <name val="Calibri"/>
      <family val="2"/>
    </font>
    <font>
      <sz val="11"/>
      <color indexed="17"/>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7"/>
        <bgColor indexed="64"/>
      </patternFill>
    </fill>
    <fill>
      <patternFill patternType="solid">
        <fgColor indexed="47"/>
        <bgColor indexed="64"/>
      </patternFill>
    </fill>
    <fill>
      <patternFill patternType="solid">
        <fgColor indexed="8"/>
        <bgColor indexed="64"/>
      </patternFill>
    </fill>
    <fill>
      <patternFill patternType="solid">
        <fgColor indexed="45"/>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34"/>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indexed="22"/>
      </left>
      <right style="thin">
        <color indexed="22"/>
      </right>
      <top style="thin">
        <color indexed="22"/>
      </top>
      <bottom style="thin">
        <color indexed="22"/>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color indexed="22"/>
      </left>
      <right>
        <color indexed="63"/>
      </right>
      <top style="thin">
        <color indexed="22"/>
      </top>
      <bottom style="thin">
        <color indexed="22"/>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mediu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0" borderId="2" applyNumberFormat="0" applyFill="0" applyAlignment="0" applyProtection="0"/>
    <xf numFmtId="0" fontId="66"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177" fontId="1" fillId="0" borderId="0" applyFont="0" applyFill="0" applyBorder="0" applyAlignment="0" applyProtection="0"/>
    <xf numFmtId="0" fontId="6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68" fillId="29" borderId="0" applyNumberFormat="0" applyBorder="0" applyAlignment="0" applyProtection="0"/>
    <xf numFmtId="0" fontId="11" fillId="0" borderId="0">
      <alignment/>
      <protection/>
    </xf>
    <xf numFmtId="0" fontId="11" fillId="0" borderId="0">
      <alignment/>
      <protection/>
    </xf>
    <xf numFmtId="0" fontId="3" fillId="0" borderId="0">
      <alignment/>
      <protection/>
    </xf>
    <xf numFmtId="0" fontId="1" fillId="30" borderId="4" applyNumberFormat="0" applyFont="0" applyAlignment="0" applyProtection="0"/>
    <xf numFmtId="0" fontId="69" fillId="20" borderId="5"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1" borderId="0" applyNumberFormat="0" applyBorder="0" applyAlignment="0" applyProtection="0"/>
    <xf numFmtId="0" fontId="78" fillId="32" borderId="0" applyNumberFormat="0" applyBorder="0" applyAlignment="0" applyProtection="0"/>
    <xf numFmtId="177" fontId="1" fillId="0" borderId="0" applyFont="0" applyFill="0" applyBorder="0" applyAlignment="0" applyProtection="0"/>
    <xf numFmtId="17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cellStyleXfs>
  <cellXfs count="380">
    <xf numFmtId="0" fontId="0" fillId="0" borderId="0" xfId="0" applyFont="1" applyAlignment="1">
      <alignment/>
    </xf>
    <xf numFmtId="0" fontId="3" fillId="0" borderId="0" xfId="0" applyFont="1" applyAlignment="1">
      <alignment vertical="center"/>
    </xf>
    <xf numFmtId="0" fontId="3" fillId="0" borderId="10" xfId="0" applyFont="1" applyBorder="1" applyAlignment="1">
      <alignment vertical="center"/>
    </xf>
    <xf numFmtId="4" fontId="3" fillId="0" borderId="0" xfId="0" applyNumberFormat="1" applyFont="1" applyAlignment="1">
      <alignment vertical="center"/>
    </xf>
    <xf numFmtId="4" fontId="4" fillId="33" borderId="10" xfId="0" applyNumberFormat="1" applyFont="1" applyFill="1" applyBorder="1" applyAlignment="1">
      <alignment vertical="center"/>
    </xf>
    <xf numFmtId="0" fontId="11" fillId="0" borderId="0" xfId="58" applyFont="1" applyAlignment="1">
      <alignment vertical="center" wrapText="1"/>
      <protection/>
    </xf>
    <xf numFmtId="0" fontId="14" fillId="33" borderId="10" xfId="58" applyFont="1" applyFill="1" applyBorder="1" applyAlignment="1">
      <alignment horizontal="center" vertical="center" wrapText="1"/>
      <protection/>
    </xf>
    <xf numFmtId="179" fontId="14" fillId="0" borderId="10" xfId="50" applyNumberFormat="1" applyFont="1" applyFill="1" applyBorder="1" applyAlignment="1">
      <alignment horizontal="center" vertical="center" wrapText="1"/>
    </xf>
    <xf numFmtId="0" fontId="14" fillId="0" borderId="10" xfId="58" applyFont="1" applyBorder="1" applyAlignment="1">
      <alignment horizontal="center" vertical="center" wrapText="1"/>
      <protection/>
    </xf>
    <xf numFmtId="0" fontId="15" fillId="0" borderId="0" xfId="58" applyFont="1" applyAlignment="1">
      <alignment horizontal="left" vertical="center" wrapText="1"/>
      <protection/>
    </xf>
    <xf numFmtId="0" fontId="15" fillId="0" borderId="0" xfId="58" applyFont="1" applyAlignment="1">
      <alignment vertical="center" wrapText="1"/>
      <protection/>
    </xf>
    <xf numFmtId="0" fontId="14" fillId="0" borderId="10" xfId="50" applyNumberFormat="1" applyFont="1" applyBorder="1" applyAlignment="1">
      <alignment horizontal="left" vertical="center" wrapText="1"/>
    </xf>
    <xf numFmtId="0" fontId="11" fillId="0" borderId="10" xfId="58" applyFont="1" applyBorder="1" applyAlignment="1">
      <alignment vertical="center" wrapText="1"/>
      <protection/>
    </xf>
    <xf numFmtId="3" fontId="11" fillId="0" borderId="10" xfId="58" applyNumberFormat="1" applyFont="1" applyBorder="1" applyAlignment="1">
      <alignment vertical="center" wrapText="1"/>
      <protection/>
    </xf>
    <xf numFmtId="179" fontId="14" fillId="0" borderId="11" xfId="50" applyNumberFormat="1" applyFont="1" applyFill="1" applyBorder="1" applyAlignment="1">
      <alignment horizontal="center" vertical="center" wrapText="1"/>
    </xf>
    <xf numFmtId="0" fontId="14" fillId="0" borderId="10" xfId="50" applyNumberFormat="1" applyFont="1" applyBorder="1" applyAlignment="1">
      <alignment vertical="center" wrapText="1"/>
    </xf>
    <xf numFmtId="0" fontId="14" fillId="0" borderId="10" xfId="58" applyFont="1" applyBorder="1" applyAlignment="1">
      <alignment horizontal="left" vertical="center" wrapText="1"/>
      <protection/>
    </xf>
    <xf numFmtId="0" fontId="14" fillId="0" borderId="11" xfId="58" applyFont="1" applyBorder="1" applyAlignment="1">
      <alignment horizontal="left" vertical="center" wrapText="1"/>
      <protection/>
    </xf>
    <xf numFmtId="4" fontId="11" fillId="0" borderId="10" xfId="50" applyNumberFormat="1" applyFont="1" applyFill="1" applyBorder="1" applyAlignment="1" quotePrefix="1">
      <alignment horizontal="right" vertical="center" wrapText="1"/>
    </xf>
    <xf numFmtId="0" fontId="11" fillId="0" borderId="10" xfId="58" applyFont="1" applyBorder="1" applyAlignment="1">
      <alignment horizontal="right" vertical="center" wrapText="1"/>
      <protection/>
    </xf>
    <xf numFmtId="3" fontId="11" fillId="0" borderId="10" xfId="58" applyNumberFormat="1" applyFont="1" applyBorder="1" applyAlignment="1">
      <alignment horizontal="right" vertical="center" wrapText="1"/>
      <protection/>
    </xf>
    <xf numFmtId="0" fontId="11" fillId="0" borderId="0" xfId="58" applyFont="1" applyAlignment="1">
      <alignment horizontal="right" vertical="center" wrapText="1"/>
      <protection/>
    </xf>
    <xf numFmtId="4" fontId="11" fillId="0" borderId="10" xfId="58" applyNumberFormat="1" applyFont="1" applyBorder="1" applyAlignment="1">
      <alignment horizontal="right" vertical="center" wrapText="1"/>
      <protection/>
    </xf>
    <xf numFmtId="4" fontId="14" fillId="0" borderId="10" xfId="58" applyNumberFormat="1" applyFont="1" applyBorder="1" applyAlignment="1">
      <alignment horizontal="right" vertical="center" wrapText="1"/>
      <protection/>
    </xf>
    <xf numFmtId="4" fontId="14" fillId="33" borderId="10" xfId="50" applyNumberFormat="1" applyFont="1" applyFill="1" applyBorder="1" applyAlignment="1">
      <alignment horizontal="right" vertical="center" wrapText="1"/>
    </xf>
    <xf numFmtId="4" fontId="14" fillId="33" borderId="10" xfId="58" applyNumberFormat="1" applyFont="1" applyFill="1" applyBorder="1" applyAlignment="1">
      <alignment horizontal="center" vertical="center" wrapText="1"/>
      <protection/>
    </xf>
    <xf numFmtId="4" fontId="14" fillId="33" borderId="10" xfId="58" applyNumberFormat="1" applyFont="1" applyFill="1" applyBorder="1" applyAlignment="1">
      <alignment horizontal="right" vertical="center" wrapText="1"/>
      <protection/>
    </xf>
    <xf numFmtId="4" fontId="11" fillId="0" borderId="10" xfId="50" applyNumberFormat="1" applyFont="1" applyFill="1" applyBorder="1" applyAlignment="1" quotePrefix="1">
      <alignment vertical="center" wrapText="1"/>
    </xf>
    <xf numFmtId="4" fontId="11" fillId="0" borderId="12" xfId="50" applyNumberFormat="1" applyFont="1" applyFill="1" applyBorder="1" applyAlignment="1" quotePrefix="1">
      <alignment vertical="center" wrapText="1"/>
    </xf>
    <xf numFmtId="4" fontId="11" fillId="0" borderId="12" xfId="50" applyNumberFormat="1" applyFont="1" applyFill="1" applyBorder="1" applyAlignment="1" quotePrefix="1">
      <alignment horizontal="right" vertical="center" wrapText="1"/>
    </xf>
    <xf numFmtId="0" fontId="14" fillId="0" borderId="11" xfId="58" applyFont="1" applyBorder="1" applyAlignment="1">
      <alignment vertical="center" wrapText="1"/>
      <protection/>
    </xf>
    <xf numFmtId="0" fontId="0" fillId="0" borderId="0" xfId="0" applyAlignment="1">
      <alignment vertical="center"/>
    </xf>
    <xf numFmtId="3" fontId="0" fillId="0" borderId="0" xfId="0" applyNumberFormat="1" applyAlignment="1">
      <alignment vertical="center"/>
    </xf>
    <xf numFmtId="4" fontId="14" fillId="34" borderId="10" xfId="58" applyNumberFormat="1" applyFont="1" applyFill="1" applyBorder="1" applyAlignment="1">
      <alignment horizontal="right" vertical="center" wrapText="1"/>
      <protection/>
    </xf>
    <xf numFmtId="4" fontId="11" fillId="33" borderId="10" xfId="58" applyNumberFormat="1" applyFont="1" applyFill="1" applyBorder="1" applyAlignment="1">
      <alignment horizontal="right" vertical="center" wrapText="1"/>
      <protection/>
    </xf>
    <xf numFmtId="4" fontId="14" fillId="35" borderId="10" xfId="58" applyNumberFormat="1" applyFont="1" applyFill="1" applyBorder="1" applyAlignment="1">
      <alignment horizontal="right" vertical="center" wrapText="1"/>
      <protection/>
    </xf>
    <xf numFmtId="0" fontId="0" fillId="0" borderId="0" xfId="0" applyFill="1" applyAlignment="1">
      <alignment vertical="center"/>
    </xf>
    <xf numFmtId="0" fontId="0" fillId="0" borderId="0" xfId="0" applyAlignment="1">
      <alignment horizontal="center" vertical="center"/>
    </xf>
    <xf numFmtId="43" fontId="0" fillId="0" borderId="0" xfId="0" applyNumberFormat="1" applyAlignment="1">
      <alignment/>
    </xf>
    <xf numFmtId="4" fontId="6" fillId="33" borderId="10" xfId="0" applyNumberFormat="1" applyFont="1" applyFill="1" applyBorder="1" applyAlignment="1">
      <alignment vertical="center"/>
    </xf>
    <xf numFmtId="3" fontId="0" fillId="0" borderId="0" xfId="0" applyNumberFormat="1" applyAlignment="1">
      <alignment/>
    </xf>
    <xf numFmtId="43" fontId="1" fillId="0" borderId="0" xfId="46" applyFont="1" applyAlignment="1">
      <alignment/>
    </xf>
    <xf numFmtId="0" fontId="0" fillId="0" borderId="0" xfId="0" applyAlignment="1">
      <alignment horizontal="center"/>
    </xf>
    <xf numFmtId="3" fontId="0" fillId="0" borderId="0" xfId="0" applyNumberFormat="1" applyAlignment="1">
      <alignment horizontal="center" vertical="center"/>
    </xf>
    <xf numFmtId="43" fontId="1" fillId="0" borderId="0" xfId="46" applyFont="1" applyAlignment="1">
      <alignment vertical="center"/>
    </xf>
    <xf numFmtId="43" fontId="1" fillId="0" borderId="0" xfId="46" applyFont="1" applyFill="1" applyAlignment="1">
      <alignment vertical="center"/>
    </xf>
    <xf numFmtId="43" fontId="0" fillId="0" borderId="0" xfId="0" applyNumberFormat="1" applyAlignment="1">
      <alignment vertical="center"/>
    </xf>
    <xf numFmtId="4" fontId="14" fillId="36" borderId="10" xfId="58" applyNumberFormat="1" applyFont="1" applyFill="1" applyBorder="1" applyAlignment="1">
      <alignment horizontal="right" vertical="center" wrapText="1"/>
      <protection/>
    </xf>
    <xf numFmtId="3" fontId="33" fillId="0" borderId="0" xfId="0" applyNumberFormat="1" applyFont="1" applyAlignment="1">
      <alignment vertical="center"/>
    </xf>
    <xf numFmtId="0" fontId="14" fillId="37" borderId="10" xfId="50" applyNumberFormat="1" applyFont="1" applyFill="1" applyBorder="1" applyAlignment="1">
      <alignment vertical="center" wrapText="1"/>
    </xf>
    <xf numFmtId="4" fontId="11" fillId="37" borderId="10" xfId="50" applyNumberFormat="1" applyFont="1" applyFill="1" applyBorder="1" applyAlignment="1" quotePrefix="1">
      <alignment horizontal="right" vertical="center" wrapText="1"/>
    </xf>
    <xf numFmtId="0" fontId="11" fillId="0" borderId="0" xfId="58" applyFont="1" applyBorder="1" applyAlignment="1">
      <alignment vertical="center" wrapText="1"/>
      <protection/>
    </xf>
    <xf numFmtId="4" fontId="11" fillId="37" borderId="12" xfId="50" applyNumberFormat="1" applyFont="1" applyFill="1" applyBorder="1" applyAlignment="1" quotePrefix="1">
      <alignment horizontal="right" vertical="center" wrapText="1"/>
    </xf>
    <xf numFmtId="0" fontId="14" fillId="37" borderId="10" xfId="50" applyNumberFormat="1" applyFont="1" applyFill="1" applyBorder="1" applyAlignment="1">
      <alignment horizontal="left" vertical="center" wrapText="1"/>
    </xf>
    <xf numFmtId="4" fontId="15" fillId="0" borderId="0" xfId="58" applyNumberFormat="1" applyFont="1" applyAlignment="1">
      <alignment horizontal="left" vertical="center" wrapText="1"/>
      <protection/>
    </xf>
    <xf numFmtId="4" fontId="11" fillId="0" borderId="0" xfId="58" applyNumberFormat="1" applyFont="1" applyAlignment="1">
      <alignment vertical="center" wrapText="1"/>
      <protection/>
    </xf>
    <xf numFmtId="0" fontId="33" fillId="0" borderId="0" xfId="0" applyFont="1" applyAlignment="1">
      <alignment horizontal="center" vertical="center"/>
    </xf>
    <xf numFmtId="0" fontId="3" fillId="0" borderId="13" xfId="60" applyFont="1" applyFill="1" applyBorder="1" applyAlignment="1">
      <alignment wrapText="1"/>
      <protection/>
    </xf>
    <xf numFmtId="0" fontId="0" fillId="0" borderId="0" xfId="0" applyBorder="1" applyAlignment="1">
      <alignment vertical="center"/>
    </xf>
    <xf numFmtId="0" fontId="0" fillId="0" borderId="0" xfId="0" applyFill="1" applyBorder="1" applyAlignment="1">
      <alignment vertical="center"/>
    </xf>
    <xf numFmtId="0" fontId="33" fillId="0" borderId="0" xfId="0" applyFont="1" applyBorder="1" applyAlignment="1">
      <alignment vertical="center"/>
    </xf>
    <xf numFmtId="199" fontId="33" fillId="0" borderId="0" xfId="0" applyNumberFormat="1" applyFont="1" applyAlignment="1">
      <alignment horizontal="center" vertical="center"/>
    </xf>
    <xf numFmtId="4" fontId="33" fillId="0" borderId="0" xfId="0" applyNumberFormat="1" applyFont="1" applyAlignment="1">
      <alignment vertical="center"/>
    </xf>
    <xf numFmtId="0" fontId="33" fillId="0" borderId="0" xfId="0" applyFont="1" applyFill="1" applyBorder="1" applyAlignment="1">
      <alignment vertical="center" wrapText="1"/>
    </xf>
    <xf numFmtId="4" fontId="0" fillId="0" borderId="0" xfId="0" applyNumberFormat="1" applyAlignment="1">
      <alignment vertical="center"/>
    </xf>
    <xf numFmtId="199" fontId="0" fillId="0" borderId="0" xfId="0" applyNumberFormat="1" applyAlignment="1">
      <alignment vertical="center"/>
    </xf>
    <xf numFmtId="0" fontId="33" fillId="0" borderId="0" xfId="0" applyFont="1" applyAlignment="1">
      <alignment vertical="center"/>
    </xf>
    <xf numFmtId="4" fontId="0" fillId="0" borderId="0" xfId="0" applyNumberFormat="1" applyFont="1" applyAlignment="1">
      <alignment vertical="center"/>
    </xf>
    <xf numFmtId="4" fontId="0" fillId="0" borderId="0" xfId="0" applyNumberFormat="1" applyFont="1" applyAlignment="1">
      <alignment horizontal="center" vertical="center"/>
    </xf>
    <xf numFmtId="0" fontId="0" fillId="0" borderId="0" xfId="0" applyFont="1" applyAlignment="1">
      <alignment vertical="center"/>
    </xf>
    <xf numFmtId="0" fontId="34" fillId="38" borderId="10" xfId="0" applyFont="1" applyFill="1" applyBorder="1" applyAlignment="1">
      <alignment horizontal="center" vertical="center" wrapText="1"/>
    </xf>
    <xf numFmtId="0" fontId="34" fillId="35" borderId="10" xfId="0" applyFont="1" applyFill="1" applyBorder="1" applyAlignment="1">
      <alignment horizontal="center" vertical="center" wrapText="1"/>
    </xf>
    <xf numFmtId="0" fontId="34" fillId="37" borderId="10" xfId="0" applyFont="1" applyFill="1" applyBorder="1" applyAlignment="1">
      <alignment horizontal="center" vertical="center" wrapText="1"/>
    </xf>
    <xf numFmtId="0" fontId="35" fillId="39" borderId="10" xfId="0" applyFont="1" applyFill="1" applyBorder="1" applyAlignment="1">
      <alignment horizontal="center" vertical="center" wrapText="1"/>
    </xf>
    <xf numFmtId="0" fontId="36" fillId="40" borderId="10" xfId="0" applyFont="1" applyFill="1" applyBorder="1" applyAlignment="1">
      <alignment vertical="center" wrapText="1"/>
    </xf>
    <xf numFmtId="0" fontId="0" fillId="0" borderId="0" xfId="0" applyFont="1" applyAlignment="1">
      <alignment horizontal="center" vertical="center"/>
    </xf>
    <xf numFmtId="4" fontId="0" fillId="0" borderId="0" xfId="0" applyNumberFormat="1" applyFont="1" applyAlignment="1">
      <alignment horizontal="right" vertical="center"/>
    </xf>
    <xf numFmtId="0" fontId="37" fillId="0" borderId="13" xfId="60" applyFont="1" applyFill="1" applyBorder="1" applyAlignment="1">
      <alignment wrapText="1"/>
      <protection/>
    </xf>
    <xf numFmtId="0" fontId="0" fillId="41" borderId="1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38" fillId="40" borderId="10" xfId="0" applyFont="1" applyFill="1" applyBorder="1" applyAlignment="1">
      <alignment vertical="center" wrapText="1"/>
    </xf>
    <xf numFmtId="4" fontId="11" fillId="0" borderId="14" xfId="50" applyNumberFormat="1" applyFont="1" applyFill="1" applyBorder="1" applyAlignment="1" quotePrefix="1">
      <alignment horizontal="right" vertical="center" wrapText="1"/>
    </xf>
    <xf numFmtId="4" fontId="11" fillId="0" borderId="0" xfId="58" applyNumberFormat="1" applyFont="1" applyFill="1" applyAlignment="1">
      <alignment vertical="center" wrapText="1"/>
      <protection/>
    </xf>
    <xf numFmtId="4" fontId="39" fillId="40" borderId="10" xfId="78" applyNumberFormat="1" applyFont="1" applyFill="1" applyBorder="1" applyAlignment="1">
      <alignment horizontal="right" vertical="center" wrapText="1"/>
    </xf>
    <xf numFmtId="0" fontId="14" fillId="0" borderId="11" xfId="58" applyFont="1" applyBorder="1" applyAlignment="1">
      <alignment horizontal="center" vertical="center" wrapText="1"/>
      <protection/>
    </xf>
    <xf numFmtId="4" fontId="11" fillId="0" borderId="0" xfId="50" applyNumberFormat="1" applyFont="1" applyFill="1" applyBorder="1" applyAlignment="1" quotePrefix="1">
      <alignment horizontal="right" vertical="center" wrapText="1"/>
    </xf>
    <xf numFmtId="4" fontId="11" fillId="42" borderId="10" xfId="50" applyNumberFormat="1" applyFont="1" applyFill="1" applyBorder="1" applyAlignment="1" quotePrefix="1">
      <alignment horizontal="right" vertical="center" wrapText="1"/>
    </xf>
    <xf numFmtId="4" fontId="11" fillId="42" borderId="10" xfId="58" applyNumberFormat="1" applyFont="1" applyFill="1" applyBorder="1" applyAlignment="1">
      <alignment horizontal="right" vertical="center" wrapText="1"/>
      <protection/>
    </xf>
    <xf numFmtId="3" fontId="11" fillId="0" borderId="14" xfId="58" applyNumberFormat="1" applyFont="1" applyBorder="1" applyAlignment="1">
      <alignment horizontal="right" vertical="center" wrapText="1"/>
      <protection/>
    </xf>
    <xf numFmtId="0" fontId="11" fillId="0" borderId="14" xfId="58" applyFont="1" applyBorder="1" applyAlignment="1">
      <alignment horizontal="right" vertical="center" wrapText="1"/>
      <protection/>
    </xf>
    <xf numFmtId="0" fontId="28" fillId="0" borderId="0" xfId="58" applyFont="1" applyAlignment="1">
      <alignment vertical="center" wrapText="1"/>
      <protection/>
    </xf>
    <xf numFmtId="0" fontId="29" fillId="0" borderId="0" xfId="58" applyFont="1" applyAlignment="1">
      <alignment vertical="center" wrapText="1"/>
      <protection/>
    </xf>
    <xf numFmtId="4" fontId="14" fillId="0" borderId="15" xfId="58" applyNumberFormat="1" applyFont="1" applyFill="1" applyBorder="1" applyAlignment="1">
      <alignment horizontal="center" vertical="center" wrapText="1"/>
      <protection/>
    </xf>
    <xf numFmtId="0" fontId="14" fillId="0" borderId="16" xfId="58" applyFont="1" applyFill="1" applyBorder="1" applyAlignment="1">
      <alignment horizontal="center" vertical="center" wrapText="1"/>
      <protection/>
    </xf>
    <xf numFmtId="0" fontId="14" fillId="0" borderId="15" xfId="58" applyFont="1" applyFill="1" applyBorder="1" applyAlignment="1">
      <alignment horizontal="center" vertical="center" wrapText="1"/>
      <protection/>
    </xf>
    <xf numFmtId="4" fontId="14" fillId="0" borderId="15" xfId="58" applyNumberFormat="1" applyFont="1" applyFill="1" applyBorder="1" applyAlignment="1">
      <alignment horizontal="right" vertical="center" wrapText="1"/>
      <protection/>
    </xf>
    <xf numFmtId="4" fontId="14" fillId="0" borderId="12" xfId="58" applyNumberFormat="1" applyFont="1" applyFill="1" applyBorder="1" applyAlignment="1">
      <alignment horizontal="right" vertical="center" wrapText="1"/>
      <protection/>
    </xf>
    <xf numFmtId="0" fontId="11" fillId="0" borderId="0" xfId="58" applyFont="1" applyFill="1" applyAlignment="1">
      <alignment vertical="center" wrapText="1"/>
      <protection/>
    </xf>
    <xf numFmtId="195" fontId="11" fillId="0" borderId="0" xfId="58" applyNumberFormat="1" applyFont="1" applyAlignment="1">
      <alignment vertical="center" wrapText="1"/>
      <protection/>
    </xf>
    <xf numFmtId="4" fontId="11" fillId="0" borderId="10" xfId="58" applyNumberFormat="1" applyFont="1" applyFill="1" applyBorder="1" applyAlignment="1">
      <alignment horizontal="right" vertical="center" wrapText="1"/>
      <protection/>
    </xf>
    <xf numFmtId="3" fontId="3" fillId="35" borderId="10" xfId="0" applyNumberFormat="1" applyFont="1" applyFill="1" applyBorder="1" applyAlignment="1">
      <alignment horizontal="center" vertical="center"/>
    </xf>
    <xf numFmtId="3" fontId="3" fillId="0" borderId="0" xfId="0" applyNumberFormat="1" applyFont="1" applyAlignment="1">
      <alignment vertical="center"/>
    </xf>
    <xf numFmtId="3" fontId="4" fillId="39" borderId="10" xfId="0" applyNumberFormat="1" applyFont="1" applyFill="1" applyBorder="1" applyAlignment="1">
      <alignment horizontal="center" vertical="center" wrapText="1"/>
    </xf>
    <xf numFmtId="3" fontId="4" fillId="35" borderId="10" xfId="0" applyNumberFormat="1" applyFont="1" applyFill="1" applyBorder="1" applyAlignment="1">
      <alignment horizontal="center" vertical="center" wrapText="1"/>
    </xf>
    <xf numFmtId="3" fontId="3" fillId="0" borderId="17" xfId="0" applyNumberFormat="1" applyFont="1" applyFill="1" applyBorder="1" applyAlignment="1" quotePrefix="1">
      <alignment vertical="center" wrapText="1"/>
    </xf>
    <xf numFmtId="3" fontId="4" fillId="39" borderId="10" xfId="0" applyNumberFormat="1" applyFont="1" applyFill="1" applyBorder="1" applyAlignment="1">
      <alignment vertical="center"/>
    </xf>
    <xf numFmtId="3" fontId="3" fillId="35" borderId="10" xfId="0" applyNumberFormat="1" applyFont="1" applyFill="1" applyBorder="1" applyAlignment="1">
      <alignment vertical="center"/>
    </xf>
    <xf numFmtId="3" fontId="3" fillId="35" borderId="10" xfId="0" applyNumberFormat="1" applyFont="1" applyFill="1" applyBorder="1" applyAlignment="1">
      <alignment horizontal="right" vertical="center"/>
    </xf>
    <xf numFmtId="3" fontId="4" fillId="35" borderId="10" xfId="0" applyNumberFormat="1" applyFont="1" applyFill="1" applyBorder="1" applyAlignment="1">
      <alignment vertical="center"/>
    </xf>
    <xf numFmtId="3" fontId="4" fillId="0" borderId="10" xfId="0" applyNumberFormat="1" applyFont="1" applyBorder="1" applyAlignment="1">
      <alignment vertical="center" wrapText="1"/>
    </xf>
    <xf numFmtId="3" fontId="16" fillId="33" borderId="10" xfId="0" applyNumberFormat="1" applyFont="1" applyFill="1" applyBorder="1" applyAlignment="1">
      <alignment vertical="center"/>
    </xf>
    <xf numFmtId="3" fontId="16" fillId="33" borderId="10" xfId="0" applyNumberFormat="1" applyFont="1" applyFill="1" applyBorder="1" applyAlignment="1">
      <alignment horizontal="right" vertical="center"/>
    </xf>
    <xf numFmtId="4" fontId="11" fillId="42" borderId="12" xfId="50" applyNumberFormat="1" applyFont="1" applyFill="1" applyBorder="1" applyAlignment="1" quotePrefix="1">
      <alignment horizontal="right" vertical="center" wrapText="1"/>
    </xf>
    <xf numFmtId="4" fontId="15" fillId="0" borderId="0" xfId="58" applyNumberFormat="1" applyFont="1" applyAlignment="1">
      <alignment vertical="center" wrapText="1"/>
      <protection/>
    </xf>
    <xf numFmtId="3" fontId="4" fillId="0" borderId="10" xfId="0" applyNumberFormat="1" applyFont="1" applyFill="1" applyBorder="1" applyAlignment="1">
      <alignment vertical="center"/>
    </xf>
    <xf numFmtId="0" fontId="4" fillId="33" borderId="12" xfId="0" applyFont="1" applyFill="1" applyBorder="1" applyAlignment="1">
      <alignment horizontal="center" vertical="center" wrapText="1"/>
    </xf>
    <xf numFmtId="4" fontId="5" fillId="0" borderId="10" xfId="0" applyNumberFormat="1" applyFont="1" applyBorder="1" applyAlignment="1">
      <alignment vertical="center"/>
    </xf>
    <xf numFmtId="4" fontId="5" fillId="33" borderId="10" xfId="0" applyNumberFormat="1" applyFont="1" applyFill="1" applyBorder="1" applyAlignment="1">
      <alignment vertical="center"/>
    </xf>
    <xf numFmtId="4" fontId="5" fillId="39" borderId="10" xfId="0" applyNumberFormat="1" applyFont="1" applyFill="1" applyBorder="1" applyAlignment="1">
      <alignment vertical="center"/>
    </xf>
    <xf numFmtId="0" fontId="4" fillId="0" borderId="11" xfId="0" applyFont="1" applyBorder="1" applyAlignment="1">
      <alignment horizontal="center" vertical="center" wrapText="1"/>
    </xf>
    <xf numFmtId="3"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3" fillId="0" borderId="14" xfId="0" applyFont="1" applyBorder="1" applyAlignment="1">
      <alignment vertical="center"/>
    </xf>
    <xf numFmtId="4" fontId="5" fillId="0" borderId="14" xfId="0" applyNumberFormat="1" applyFont="1" applyBorder="1" applyAlignment="1">
      <alignment vertical="center"/>
    </xf>
    <xf numFmtId="4" fontId="5" fillId="33" borderId="14" xfId="0" applyNumberFormat="1" applyFont="1" applyFill="1" applyBorder="1" applyAlignment="1">
      <alignment vertical="center"/>
    </xf>
    <xf numFmtId="4" fontId="5" fillId="39" borderId="14" xfId="0" applyNumberFormat="1" applyFont="1" applyFill="1" applyBorder="1" applyAlignment="1">
      <alignment vertical="center"/>
    </xf>
    <xf numFmtId="0" fontId="4" fillId="0" borderId="18" xfId="0" applyFont="1" applyBorder="1" applyAlignment="1">
      <alignment vertical="center"/>
    </xf>
    <xf numFmtId="4" fontId="4" fillId="0" borderId="19" xfId="0" applyNumberFormat="1" applyFont="1" applyBorder="1" applyAlignment="1">
      <alignment horizontal="right" vertical="center"/>
    </xf>
    <xf numFmtId="4" fontId="4" fillId="33" borderId="20" xfId="0" applyNumberFormat="1" applyFont="1" applyFill="1" applyBorder="1" applyAlignment="1">
      <alignment vertical="center"/>
    </xf>
    <xf numFmtId="4" fontId="4" fillId="39" borderId="20" xfId="0" applyNumberFormat="1" applyFont="1" applyFill="1" applyBorder="1" applyAlignment="1">
      <alignment vertical="center"/>
    </xf>
    <xf numFmtId="4" fontId="4" fillId="39" borderId="21" xfId="0" applyNumberFormat="1" applyFont="1" applyFill="1" applyBorder="1" applyAlignment="1">
      <alignment vertical="center"/>
    </xf>
    <xf numFmtId="0" fontId="4" fillId="0" borderId="22" xfId="0" applyFont="1" applyBorder="1" applyAlignment="1">
      <alignment vertical="center"/>
    </xf>
    <xf numFmtId="4" fontId="4" fillId="0" borderId="23" xfId="0" applyNumberFormat="1" applyFont="1" applyBorder="1" applyAlignment="1">
      <alignment vertical="center"/>
    </xf>
    <xf numFmtId="4" fontId="4" fillId="33" borderId="23" xfId="0" applyNumberFormat="1" applyFont="1" applyFill="1" applyBorder="1" applyAlignment="1">
      <alignment vertical="center"/>
    </xf>
    <xf numFmtId="4" fontId="4" fillId="39" borderId="24" xfId="0" applyNumberFormat="1" applyFont="1" applyFill="1" applyBorder="1" applyAlignment="1">
      <alignment vertical="center"/>
    </xf>
    <xf numFmtId="0" fontId="4" fillId="33" borderId="11" xfId="0" applyFont="1" applyFill="1" applyBorder="1" applyAlignment="1">
      <alignment horizontal="center" vertical="center" wrapText="1"/>
    </xf>
    <xf numFmtId="4" fontId="4" fillId="0" borderId="0" xfId="0" applyNumberFormat="1" applyFont="1" applyAlignment="1">
      <alignment vertical="center"/>
    </xf>
    <xf numFmtId="0" fontId="4" fillId="0" borderId="10" xfId="0" applyFont="1" applyBorder="1" applyAlignment="1">
      <alignment vertical="center"/>
    </xf>
    <xf numFmtId="4" fontId="4" fillId="39" borderId="10" xfId="0" applyNumberFormat="1" applyFont="1" applyFill="1" applyBorder="1" applyAlignment="1">
      <alignment vertical="center"/>
    </xf>
    <xf numFmtId="4" fontId="4" fillId="33" borderId="25" xfId="0" applyNumberFormat="1" applyFont="1" applyFill="1" applyBorder="1" applyAlignment="1">
      <alignment vertical="center"/>
    </xf>
    <xf numFmtId="4" fontId="4" fillId="0" borderId="26" xfId="0" applyNumberFormat="1" applyFont="1" applyBorder="1" applyAlignment="1">
      <alignment horizontal="right" vertical="center"/>
    </xf>
    <xf numFmtId="4" fontId="4" fillId="0" borderId="10" xfId="0" applyNumberFormat="1" applyFont="1" applyBorder="1" applyAlignment="1">
      <alignment horizontal="center" vertical="center"/>
    </xf>
    <xf numFmtId="4" fontId="4" fillId="33" borderId="27" xfId="0" applyNumberFormat="1" applyFont="1" applyFill="1" applyBorder="1" applyAlignment="1">
      <alignment vertical="center"/>
    </xf>
    <xf numFmtId="4" fontId="4" fillId="39" borderId="27" xfId="0" applyNumberFormat="1" applyFont="1" applyFill="1" applyBorder="1" applyAlignment="1">
      <alignment vertical="center"/>
    </xf>
    <xf numFmtId="4" fontId="4" fillId="39" borderId="28" xfId="0" applyNumberFormat="1" applyFont="1" applyFill="1" applyBorder="1" applyAlignment="1">
      <alignment vertical="center"/>
    </xf>
    <xf numFmtId="4" fontId="4" fillId="0" borderId="10" xfId="0" applyNumberFormat="1" applyFont="1" applyBorder="1" applyAlignment="1">
      <alignment horizontal="right" vertical="center"/>
    </xf>
    <xf numFmtId="4" fontId="4" fillId="33" borderId="29" xfId="0" applyNumberFormat="1" applyFont="1" applyFill="1" applyBorder="1" applyAlignment="1">
      <alignment vertical="center"/>
    </xf>
    <xf numFmtId="4" fontId="4" fillId="33" borderId="30" xfId="0" applyNumberFormat="1" applyFont="1" applyFill="1" applyBorder="1" applyAlignment="1">
      <alignment vertical="center"/>
    </xf>
    <xf numFmtId="4" fontId="4" fillId="33" borderId="31" xfId="0" applyNumberFormat="1" applyFont="1" applyFill="1" applyBorder="1" applyAlignment="1">
      <alignment vertical="center"/>
    </xf>
    <xf numFmtId="0" fontId="3" fillId="0" borderId="0" xfId="0" applyFont="1" applyAlignment="1">
      <alignment vertical="center" wrapText="1"/>
    </xf>
    <xf numFmtId="0" fontId="3" fillId="0" borderId="0" xfId="0" applyFont="1" applyFill="1" applyAlignment="1">
      <alignment vertical="center"/>
    </xf>
    <xf numFmtId="4" fontId="3" fillId="0" borderId="0" xfId="0" applyNumberFormat="1" applyFont="1" applyFill="1" applyAlignment="1">
      <alignment vertical="center"/>
    </xf>
    <xf numFmtId="4" fontId="6" fillId="33" borderId="14" xfId="78" applyNumberFormat="1" applyFont="1" applyFill="1" applyBorder="1" applyAlignment="1">
      <alignment vertical="center"/>
    </xf>
    <xf numFmtId="4" fontId="4" fillId="0" borderId="20" xfId="78" applyNumberFormat="1" applyFont="1" applyBorder="1" applyAlignment="1">
      <alignment vertical="center"/>
    </xf>
    <xf numFmtId="4" fontId="4" fillId="43" borderId="20" xfId="78" applyNumberFormat="1" applyFont="1" applyFill="1" applyBorder="1" applyAlignment="1">
      <alignment vertical="center"/>
    </xf>
    <xf numFmtId="4" fontId="4" fillId="0" borderId="25" xfId="78" applyNumberFormat="1" applyFont="1" applyBorder="1" applyAlignment="1">
      <alignment vertical="center"/>
    </xf>
    <xf numFmtId="4" fontId="4" fillId="43" borderId="25" xfId="78" applyNumberFormat="1" applyFont="1" applyFill="1" applyBorder="1" applyAlignment="1">
      <alignment vertical="center"/>
    </xf>
    <xf numFmtId="4" fontId="4" fillId="0" borderId="23" xfId="78" applyNumberFormat="1" applyFont="1" applyBorder="1" applyAlignment="1">
      <alignment vertical="center"/>
    </xf>
    <xf numFmtId="4" fontId="6" fillId="0" borderId="14" xfId="78" applyNumberFormat="1" applyFont="1" applyBorder="1" applyAlignment="1">
      <alignment vertical="center"/>
    </xf>
    <xf numFmtId="4" fontId="5" fillId="0" borderId="14" xfId="78" applyNumberFormat="1" applyFont="1" applyBorder="1" applyAlignment="1">
      <alignment vertical="center"/>
    </xf>
    <xf numFmtId="4" fontId="6" fillId="43" borderId="14" xfId="78" applyNumberFormat="1" applyFont="1" applyFill="1" applyBorder="1" applyAlignment="1">
      <alignment vertical="center"/>
    </xf>
    <xf numFmtId="4" fontId="6" fillId="0" borderId="10" xfId="78" applyNumberFormat="1" applyFont="1" applyBorder="1" applyAlignment="1">
      <alignment vertical="center"/>
    </xf>
    <xf numFmtId="4" fontId="5" fillId="0" borderId="10" xfId="78" applyNumberFormat="1" applyFont="1" applyBorder="1" applyAlignment="1">
      <alignment vertical="center"/>
    </xf>
    <xf numFmtId="4" fontId="6" fillId="43" borderId="10" xfId="78" applyNumberFormat="1" applyFont="1" applyFill="1" applyBorder="1" applyAlignment="1">
      <alignment vertical="center"/>
    </xf>
    <xf numFmtId="4" fontId="6" fillId="33" borderId="10" xfId="78" applyNumberFormat="1" applyFont="1" applyFill="1" applyBorder="1" applyAlignment="1">
      <alignment vertical="center"/>
    </xf>
    <xf numFmtId="4" fontId="4" fillId="0" borderId="10" xfId="78" applyNumberFormat="1" applyFont="1" applyBorder="1" applyAlignment="1">
      <alignment vertical="center"/>
    </xf>
    <xf numFmtId="4" fontId="4" fillId="43" borderId="10" xfId="78" applyNumberFormat="1" applyFont="1" applyFill="1" applyBorder="1" applyAlignment="1">
      <alignment vertical="center"/>
    </xf>
    <xf numFmtId="200" fontId="4" fillId="33" borderId="10" xfId="48" applyNumberFormat="1" applyFont="1" applyFill="1" applyBorder="1" applyAlignment="1">
      <alignment horizontal="right" vertical="center"/>
    </xf>
    <xf numFmtId="4" fontId="0" fillId="0" borderId="0" xfId="0" applyNumberFormat="1" applyAlignment="1">
      <alignment/>
    </xf>
    <xf numFmtId="0" fontId="14" fillId="0" borderId="10" xfId="50" applyNumberFormat="1" applyFont="1" applyFill="1" applyBorder="1" applyAlignment="1">
      <alignment vertical="center" wrapText="1"/>
    </xf>
    <xf numFmtId="0" fontId="4" fillId="0" borderId="18" xfId="0" applyFont="1" applyFill="1" applyBorder="1" applyAlignment="1">
      <alignment vertical="center"/>
    </xf>
    <xf numFmtId="0" fontId="4" fillId="0" borderId="32" xfId="0" applyFont="1" applyFill="1" applyBorder="1" applyAlignment="1">
      <alignment vertical="center"/>
    </xf>
    <xf numFmtId="0" fontId="11" fillId="0" borderId="0" xfId="0" applyFont="1" applyAlignment="1">
      <alignment vertical="center"/>
    </xf>
    <xf numFmtId="4" fontId="11" fillId="44" borderId="0" xfId="58" applyNumberFormat="1" applyFont="1" applyFill="1" applyAlignment="1">
      <alignment vertical="center" wrapText="1"/>
      <protection/>
    </xf>
    <xf numFmtId="0" fontId="11" fillId="0" borderId="10" xfId="58" applyFont="1" applyFill="1" applyBorder="1" applyAlignment="1">
      <alignment horizontal="right" vertical="center" wrapText="1"/>
      <protection/>
    </xf>
    <xf numFmtId="0" fontId="21" fillId="0" borderId="10" xfId="50" applyNumberFormat="1" applyFont="1" applyFill="1" applyBorder="1" applyAlignment="1">
      <alignment vertical="center" wrapText="1"/>
    </xf>
    <xf numFmtId="4" fontId="11" fillId="0" borderId="10" xfId="58" applyNumberFormat="1" applyFont="1" applyBorder="1" applyAlignment="1">
      <alignment vertical="center" wrapText="1"/>
      <protection/>
    </xf>
    <xf numFmtId="4" fontId="11" fillId="0" borderId="14" xfId="58" applyNumberFormat="1" applyFont="1" applyFill="1" applyBorder="1" applyAlignment="1">
      <alignment horizontal="right" vertical="center" wrapText="1"/>
      <protection/>
    </xf>
    <xf numFmtId="4" fontId="11" fillId="45" borderId="0" xfId="58" applyNumberFormat="1" applyFont="1" applyFill="1" applyAlignment="1">
      <alignment vertical="center" wrapText="1"/>
      <protection/>
    </xf>
    <xf numFmtId="4" fontId="11" fillId="42" borderId="0" xfId="58" applyNumberFormat="1" applyFont="1" applyFill="1" applyAlignment="1">
      <alignment vertical="center" wrapText="1"/>
      <protection/>
    </xf>
    <xf numFmtId="4" fontId="14" fillId="0" borderId="10" xfId="58" applyNumberFormat="1" applyFont="1" applyFill="1" applyBorder="1" applyAlignment="1">
      <alignment horizontal="right" vertical="center" wrapText="1"/>
      <protection/>
    </xf>
    <xf numFmtId="3" fontId="40" fillId="0" borderId="33" xfId="0" applyNumberFormat="1" applyFont="1" applyBorder="1" applyAlignment="1">
      <alignment vertical="center" wrapText="1"/>
    </xf>
    <xf numFmtId="3" fontId="40" fillId="0" borderId="0" xfId="0" applyNumberFormat="1" applyFont="1" applyAlignment="1">
      <alignment vertical="center" wrapText="1"/>
    </xf>
    <xf numFmtId="3" fontId="40" fillId="0" borderId="0" xfId="0" applyNumberFormat="1" applyFont="1" applyAlignment="1">
      <alignment vertical="center"/>
    </xf>
    <xf numFmtId="0" fontId="14" fillId="42" borderId="16" xfId="58" applyFont="1" applyFill="1" applyBorder="1" applyAlignment="1">
      <alignment vertical="center" wrapText="1"/>
      <protection/>
    </xf>
    <xf numFmtId="3" fontId="4" fillId="35" borderId="16" xfId="0" applyNumberFormat="1" applyFont="1" applyFill="1" applyBorder="1" applyAlignment="1">
      <alignment vertical="center" wrapText="1"/>
    </xf>
    <xf numFmtId="0" fontId="33" fillId="40" borderId="10" xfId="0" applyFont="1" applyFill="1" applyBorder="1" applyAlignment="1">
      <alignment horizontal="left" vertical="center" wrapText="1"/>
    </xf>
    <xf numFmtId="0" fontId="33" fillId="40" borderId="10" xfId="0" applyFont="1" applyFill="1" applyBorder="1" applyAlignment="1">
      <alignment horizontal="center" vertical="center" wrapText="1"/>
    </xf>
    <xf numFmtId="0" fontId="33" fillId="46" borderId="10" xfId="0" applyFont="1" applyFill="1" applyBorder="1" applyAlignment="1">
      <alignment horizontal="center" vertical="center" wrapText="1"/>
    </xf>
    <xf numFmtId="0" fontId="33" fillId="47" borderId="10" xfId="0" applyFont="1" applyFill="1" applyBorder="1" applyAlignment="1">
      <alignment horizontal="center" vertical="center" wrapText="1"/>
    </xf>
    <xf numFmtId="199" fontId="33" fillId="0" borderId="10" xfId="78" applyNumberFormat="1" applyFont="1" applyFill="1" applyBorder="1" applyAlignment="1">
      <alignment vertical="center" wrapText="1"/>
    </xf>
    <xf numFmtId="199" fontId="33" fillId="33" borderId="10" xfId="78" applyNumberFormat="1" applyFont="1" applyFill="1" applyBorder="1" applyAlignment="1">
      <alignment vertical="center" wrapText="1"/>
    </xf>
    <xf numFmtId="199" fontId="33" fillId="34" borderId="10" xfId="78" applyNumberFormat="1" applyFont="1" applyFill="1" applyBorder="1" applyAlignment="1">
      <alignment vertical="center" wrapText="1"/>
    </xf>
    <xf numFmtId="199" fontId="33" fillId="33" borderId="14" xfId="78" applyNumberFormat="1" applyFont="1" applyFill="1" applyBorder="1" applyAlignment="1">
      <alignment vertical="center" wrapText="1"/>
    </xf>
    <xf numFmtId="199" fontId="33" fillId="0" borderId="14" xfId="78" applyNumberFormat="1" applyFont="1" applyFill="1" applyBorder="1" applyAlignment="1">
      <alignment vertical="center" wrapText="1"/>
    </xf>
    <xf numFmtId="199" fontId="33" fillId="34" borderId="14" xfId="78" applyNumberFormat="1" applyFont="1" applyFill="1" applyBorder="1" applyAlignment="1">
      <alignment vertical="center" wrapText="1"/>
    </xf>
    <xf numFmtId="4" fontId="33" fillId="40" borderId="10" xfId="0" applyNumberFormat="1" applyFont="1" applyFill="1" applyBorder="1" applyAlignment="1">
      <alignment horizontal="right" vertical="center" wrapText="1"/>
    </xf>
    <xf numFmtId="199" fontId="1" fillId="40" borderId="10" xfId="78" applyNumberFormat="1" applyFont="1" applyFill="1" applyBorder="1" applyAlignment="1">
      <alignment vertical="center" wrapText="1"/>
    </xf>
    <xf numFmtId="177" fontId="1" fillId="0" borderId="0" xfId="78" applyFont="1" applyAlignment="1">
      <alignment vertical="center"/>
    </xf>
    <xf numFmtId="177" fontId="1" fillId="0" borderId="10" xfId="78" applyFont="1" applyFill="1" applyBorder="1" applyAlignment="1">
      <alignment vertical="center" wrapText="1"/>
    </xf>
    <xf numFmtId="199" fontId="33" fillId="42" borderId="10" xfId="78" applyNumberFormat="1" applyFont="1" applyFill="1" applyBorder="1" applyAlignment="1">
      <alignment vertical="center" wrapText="1"/>
    </xf>
    <xf numFmtId="0" fontId="1" fillId="41" borderId="10" xfId="0" applyFont="1" applyFill="1" applyBorder="1" applyAlignment="1">
      <alignment vertical="center" wrapText="1"/>
    </xf>
    <xf numFmtId="0" fontId="1" fillId="0" borderId="10" xfId="0" applyFont="1" applyFill="1" applyBorder="1" applyAlignment="1">
      <alignment vertical="center" wrapText="1"/>
    </xf>
    <xf numFmtId="4" fontId="4" fillId="0" borderId="23" xfId="78" applyNumberFormat="1" applyFont="1" applyFill="1" applyBorder="1" applyAlignment="1">
      <alignment vertical="center"/>
    </xf>
    <xf numFmtId="4" fontId="40" fillId="33" borderId="20" xfId="0" applyNumberFormat="1" applyFont="1" applyFill="1" applyBorder="1" applyAlignment="1">
      <alignment vertical="center"/>
    </xf>
    <xf numFmtId="4" fontId="40" fillId="33" borderId="29" xfId="0" applyNumberFormat="1" applyFont="1" applyFill="1" applyBorder="1" applyAlignment="1">
      <alignment vertical="center"/>
    </xf>
    <xf numFmtId="4" fontId="40" fillId="33" borderId="10" xfId="0" applyNumberFormat="1" applyFont="1" applyFill="1" applyBorder="1" applyAlignment="1">
      <alignment vertical="center"/>
    </xf>
    <xf numFmtId="0" fontId="36" fillId="40" borderId="34" xfId="0" applyFont="1" applyFill="1" applyBorder="1" applyAlignment="1">
      <alignment horizontal="center" vertical="center" wrapText="1"/>
    </xf>
    <xf numFmtId="0" fontId="33" fillId="46" borderId="14" xfId="0" applyFont="1" applyFill="1" applyBorder="1" applyAlignment="1">
      <alignment horizontal="center" vertical="center" wrapText="1"/>
    </xf>
    <xf numFmtId="4" fontId="14" fillId="33" borderId="20" xfId="0" applyNumberFormat="1" applyFont="1" applyFill="1" applyBorder="1" applyAlignment="1">
      <alignment vertical="center"/>
    </xf>
    <xf numFmtId="43" fontId="1" fillId="0" borderId="0" xfId="46" applyFont="1" applyAlignment="1">
      <alignment/>
    </xf>
    <xf numFmtId="4" fontId="33" fillId="45" borderId="0" xfId="0" applyNumberFormat="1" applyFont="1" applyFill="1" applyAlignment="1">
      <alignment vertical="center"/>
    </xf>
    <xf numFmtId="199" fontId="44" fillId="48" borderId="10" xfId="78" applyNumberFormat="1" applyFont="1" applyFill="1" applyBorder="1" applyAlignment="1">
      <alignment vertical="center" wrapText="1"/>
    </xf>
    <xf numFmtId="199" fontId="44" fillId="49" borderId="10" xfId="78" applyNumberFormat="1" applyFont="1" applyFill="1" applyBorder="1" applyAlignment="1">
      <alignment vertical="center" wrapText="1"/>
    </xf>
    <xf numFmtId="199" fontId="44" fillId="46" borderId="10" xfId="78" applyNumberFormat="1" applyFont="1" applyFill="1" applyBorder="1" applyAlignment="1">
      <alignment vertical="center" wrapText="1"/>
    </xf>
    <xf numFmtId="199" fontId="44" fillId="47" borderId="10" xfId="78" applyNumberFormat="1" applyFont="1" applyFill="1" applyBorder="1" applyAlignment="1">
      <alignment vertical="center" wrapText="1"/>
    </xf>
    <xf numFmtId="199" fontId="44" fillId="50" borderId="10" xfId="78" applyNumberFormat="1" applyFont="1" applyFill="1" applyBorder="1" applyAlignment="1">
      <alignment vertical="center" wrapText="1"/>
    </xf>
    <xf numFmtId="199" fontId="44" fillId="40" borderId="10" xfId="78" applyNumberFormat="1" applyFont="1" applyFill="1" applyBorder="1" applyAlignment="1">
      <alignment vertical="center" wrapText="1"/>
    </xf>
    <xf numFmtId="199" fontId="0" fillId="51" borderId="10" xfId="0" applyNumberFormat="1" applyFont="1" applyFill="1" applyBorder="1" applyAlignment="1">
      <alignment vertical="center" wrapText="1"/>
    </xf>
    <xf numFmtId="177" fontId="11" fillId="0" borderId="0" xfId="78" applyFont="1" applyFill="1" applyBorder="1" applyAlignment="1" quotePrefix="1">
      <alignment horizontal="center" vertical="center" wrapText="1"/>
    </xf>
    <xf numFmtId="199" fontId="33" fillId="43" borderId="10" xfId="78" applyNumberFormat="1" applyFont="1" applyFill="1" applyBorder="1" applyAlignment="1">
      <alignment vertical="center" wrapText="1"/>
    </xf>
    <xf numFmtId="4" fontId="45" fillId="0" borderId="0" xfId="0" applyNumberFormat="1" applyFont="1" applyAlignment="1">
      <alignment/>
    </xf>
    <xf numFmtId="43" fontId="3" fillId="0" borderId="0" xfId="0" applyNumberFormat="1" applyFont="1" applyAlignment="1">
      <alignment vertical="center"/>
    </xf>
    <xf numFmtId="43" fontId="3" fillId="0" borderId="0" xfId="48" applyFont="1" applyAlignment="1">
      <alignment vertical="center"/>
    </xf>
    <xf numFmtId="199" fontId="1" fillId="48" borderId="10" xfId="78" applyNumberFormat="1" applyFont="1" applyFill="1" applyBorder="1" applyAlignment="1">
      <alignment vertical="center" wrapText="1"/>
    </xf>
    <xf numFmtId="199" fontId="1" fillId="49" borderId="10" xfId="78" applyNumberFormat="1" applyFont="1" applyFill="1" applyBorder="1" applyAlignment="1">
      <alignment vertical="center" wrapText="1"/>
    </xf>
    <xf numFmtId="199" fontId="1" fillId="46" borderId="10" xfId="78" applyNumberFormat="1" applyFont="1" applyFill="1" applyBorder="1" applyAlignment="1">
      <alignment vertical="center" wrapText="1"/>
    </xf>
    <xf numFmtId="199" fontId="1" fillId="47" borderId="10" xfId="78" applyNumberFormat="1" applyFont="1" applyFill="1" applyBorder="1" applyAlignment="1">
      <alignment vertical="center" wrapText="1"/>
    </xf>
    <xf numFmtId="199" fontId="1" fillId="50" borderId="10" xfId="78" applyNumberFormat="1" applyFont="1" applyFill="1" applyBorder="1" applyAlignment="1">
      <alignment vertical="center" wrapText="1"/>
    </xf>
    <xf numFmtId="199" fontId="1" fillId="38" borderId="10" xfId="78" applyNumberFormat="1" applyFont="1" applyFill="1" applyBorder="1" applyAlignment="1">
      <alignment vertical="center" wrapText="1"/>
    </xf>
    <xf numFmtId="199" fontId="1" fillId="35" borderId="10" xfId="78" applyNumberFormat="1" applyFont="1" applyFill="1" applyBorder="1" applyAlignment="1">
      <alignment vertical="center" wrapText="1"/>
    </xf>
    <xf numFmtId="199" fontId="1" fillId="37" borderId="10" xfId="78" applyNumberFormat="1" applyFont="1" applyFill="1" applyBorder="1" applyAlignment="1">
      <alignment vertical="center" wrapText="1"/>
    </xf>
    <xf numFmtId="199" fontId="1" fillId="51" borderId="10" xfId="78" applyNumberFormat="1" applyFont="1" applyFill="1" applyBorder="1" applyAlignment="1">
      <alignment vertical="center" wrapText="1"/>
    </xf>
    <xf numFmtId="199" fontId="43" fillId="0" borderId="14" xfId="78" applyNumberFormat="1" applyFont="1" applyFill="1" applyBorder="1" applyAlignment="1">
      <alignment vertical="center" wrapText="1"/>
    </xf>
    <xf numFmtId="199" fontId="43" fillId="33" borderId="10" xfId="78" applyNumberFormat="1" applyFont="1" applyFill="1" applyBorder="1" applyAlignment="1">
      <alignment vertical="center" wrapText="1"/>
    </xf>
    <xf numFmtId="199" fontId="43" fillId="0" borderId="10" xfId="78" applyNumberFormat="1" applyFont="1" applyFill="1" applyBorder="1" applyAlignment="1">
      <alignment vertical="center" wrapText="1"/>
    </xf>
    <xf numFmtId="199" fontId="1" fillId="33" borderId="10" xfId="78" applyNumberFormat="1" applyFont="1" applyFill="1" applyBorder="1" applyAlignment="1">
      <alignment vertical="center" wrapText="1"/>
    </xf>
    <xf numFmtId="0" fontId="14" fillId="0" borderId="10" xfId="0" applyFont="1" applyFill="1" applyBorder="1" applyAlignment="1">
      <alignment vertical="center"/>
    </xf>
    <xf numFmtId="177" fontId="3" fillId="0" borderId="0" xfId="74" applyFont="1" applyAlignment="1">
      <alignment vertical="center"/>
    </xf>
    <xf numFmtId="0" fontId="11" fillId="0" borderId="0" xfId="0" applyFont="1" applyFill="1" applyAlignment="1">
      <alignment vertical="center"/>
    </xf>
    <xf numFmtId="199" fontId="44" fillId="50" borderId="16" xfId="78" applyNumberFormat="1" applyFont="1" applyFill="1" applyBorder="1" applyAlignment="1">
      <alignment vertical="center" wrapText="1"/>
    </xf>
    <xf numFmtId="199" fontId="1" fillId="50" borderId="16" xfId="78" applyNumberFormat="1" applyFont="1" applyFill="1" applyBorder="1" applyAlignment="1">
      <alignment vertical="center" wrapText="1"/>
    </xf>
    <xf numFmtId="199" fontId="1" fillId="37" borderId="16" xfId="78" applyNumberFormat="1" applyFont="1" applyFill="1" applyBorder="1" applyAlignment="1">
      <alignment vertical="center" wrapText="1"/>
    </xf>
    <xf numFmtId="199" fontId="1" fillId="46" borderId="10" xfId="78" applyNumberFormat="1" applyFont="1" applyFill="1" applyBorder="1" applyAlignment="1">
      <alignment vertical="center" wrapText="1"/>
    </xf>
    <xf numFmtId="199" fontId="44" fillId="46" borderId="10" xfId="78" applyNumberFormat="1" applyFont="1" applyFill="1" applyBorder="1" applyAlignment="1">
      <alignment vertical="center" wrapText="1"/>
    </xf>
    <xf numFmtId="199" fontId="1" fillId="46" borderId="10" xfId="78" applyNumberFormat="1" applyFont="1" applyFill="1" applyBorder="1" applyAlignment="1">
      <alignment vertical="center" wrapText="1"/>
    </xf>
    <xf numFmtId="199" fontId="1" fillId="51" borderId="10" xfId="0" applyNumberFormat="1" applyFont="1" applyFill="1" applyBorder="1" applyAlignment="1">
      <alignment vertical="center" wrapText="1"/>
    </xf>
    <xf numFmtId="0" fontId="1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3" fontId="11" fillId="0" borderId="12" xfId="46" applyFont="1" applyBorder="1" applyAlignment="1">
      <alignment vertical="center"/>
    </xf>
    <xf numFmtId="43" fontId="11" fillId="0" borderId="10" xfId="46" applyFont="1" applyBorder="1" applyAlignment="1">
      <alignment vertical="center"/>
    </xf>
    <xf numFmtId="43" fontId="11" fillId="0" borderId="10" xfId="46" applyFont="1" applyBorder="1" applyAlignment="1">
      <alignment vertical="center" wrapText="1"/>
    </xf>
    <xf numFmtId="43" fontId="11" fillId="33" borderId="10" xfId="46" applyFont="1" applyFill="1" applyBorder="1" applyAlignment="1">
      <alignment vertical="center"/>
    </xf>
    <xf numFmtId="0" fontId="11" fillId="33" borderId="10" xfId="0" applyFont="1" applyFill="1" applyBorder="1" applyAlignment="1">
      <alignment vertical="center"/>
    </xf>
    <xf numFmtId="43" fontId="14" fillId="33" borderId="10" xfId="46" applyFont="1" applyFill="1" applyBorder="1" applyAlignment="1">
      <alignment vertical="center"/>
    </xf>
    <xf numFmtId="4" fontId="4" fillId="0" borderId="29" xfId="0" applyNumberFormat="1" applyFont="1" applyBorder="1" applyAlignment="1">
      <alignment horizontal="center" vertical="center"/>
    </xf>
    <xf numFmtId="4" fontId="4" fillId="0" borderId="35" xfId="0" applyNumberFormat="1" applyFont="1" applyBorder="1" applyAlignment="1">
      <alignment horizontal="center" vertical="center"/>
    </xf>
    <xf numFmtId="4" fontId="4" fillId="0" borderId="19"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177" fontId="4" fillId="0" borderId="16" xfId="0" applyNumberFormat="1" applyFont="1" applyBorder="1" applyAlignment="1">
      <alignment horizontal="center" vertical="center" wrapText="1"/>
    </xf>
    <xf numFmtId="177" fontId="4" fillId="0" borderId="15"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39" borderId="10"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3" fillId="40" borderId="11" xfId="0" applyFont="1" applyFill="1" applyBorder="1" applyAlignment="1">
      <alignment horizontal="center" vertical="center" wrapText="1"/>
    </xf>
    <xf numFmtId="0" fontId="33" fillId="40" borderId="14" xfId="0" applyFont="1" applyFill="1" applyBorder="1" applyAlignment="1">
      <alignment horizontal="center" vertical="center" wrapText="1"/>
    </xf>
    <xf numFmtId="0" fontId="36" fillId="40" borderId="25" xfId="0" applyFont="1" applyFill="1" applyBorder="1" applyAlignment="1">
      <alignment horizontal="center" vertical="center" wrapText="1"/>
    </xf>
    <xf numFmtId="0" fontId="36" fillId="40" borderId="14" xfId="0" applyFont="1" applyFill="1" applyBorder="1" applyAlignment="1">
      <alignment horizontal="center" vertical="center" wrapText="1"/>
    </xf>
    <xf numFmtId="0" fontId="33" fillId="40" borderId="16" xfId="0" applyFont="1" applyFill="1" applyBorder="1" applyAlignment="1">
      <alignment horizontal="center" vertical="center" wrapText="1"/>
    </xf>
    <xf numFmtId="0" fontId="33" fillId="40" borderId="12" xfId="0" applyFont="1" applyFill="1" applyBorder="1" applyAlignment="1">
      <alignment horizontal="center" vertical="center" wrapText="1"/>
    </xf>
    <xf numFmtId="0" fontId="35" fillId="33" borderId="25"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40" borderId="36" xfId="0" applyFont="1" applyFill="1" applyBorder="1" applyAlignment="1">
      <alignment horizontal="center" vertical="center" wrapText="1"/>
    </xf>
    <xf numFmtId="0" fontId="36" fillId="40" borderId="33" xfId="0" applyFont="1" applyFill="1" applyBorder="1" applyAlignment="1">
      <alignment horizontal="center" vertical="center" wrapText="1"/>
    </xf>
    <xf numFmtId="0" fontId="36" fillId="40" borderId="34" xfId="0" applyFont="1" applyFill="1" applyBorder="1" applyAlignment="1">
      <alignment horizontal="center" vertical="center" wrapText="1"/>
    </xf>
    <xf numFmtId="0" fontId="36" fillId="40" borderId="16" xfId="0" applyFont="1" applyFill="1" applyBorder="1" applyAlignment="1">
      <alignment horizontal="center" vertical="center" wrapText="1"/>
    </xf>
    <xf numFmtId="0" fontId="36" fillId="40" borderId="15" xfId="0" applyFont="1" applyFill="1" applyBorder="1" applyAlignment="1">
      <alignment horizontal="center" vertical="center" wrapText="1"/>
    </xf>
    <xf numFmtId="0" fontId="36" fillId="40" borderId="12" xfId="0" applyFont="1" applyFill="1" applyBorder="1" applyAlignment="1">
      <alignment horizontal="center" vertical="center" wrapText="1"/>
    </xf>
    <xf numFmtId="43" fontId="11" fillId="0" borderId="10" xfId="46" applyFont="1" applyBorder="1" applyAlignment="1">
      <alignment horizontal="right" vertical="center"/>
    </xf>
    <xf numFmtId="0" fontId="11" fillId="0" borderId="33" xfId="0" applyFont="1" applyBorder="1" applyAlignment="1">
      <alignment horizontal="left" vertical="center" wrapText="1"/>
    </xf>
    <xf numFmtId="0" fontId="11" fillId="0" borderId="33"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6" fillId="0" borderId="37" xfId="0" applyFont="1" applyBorder="1" applyAlignment="1">
      <alignment horizontal="center" vertical="center" wrapText="1"/>
    </xf>
    <xf numFmtId="0" fontId="17"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58" applyFont="1" applyBorder="1" applyAlignment="1">
      <alignment horizontal="left" vertical="center" wrapText="1"/>
      <protection/>
    </xf>
    <xf numFmtId="0" fontId="14" fillId="0" borderId="10" xfId="58" applyFont="1" applyBorder="1" applyAlignment="1">
      <alignment horizontal="center" vertical="center" wrapText="1"/>
      <protection/>
    </xf>
    <xf numFmtId="179" fontId="14" fillId="0" borderId="16" xfId="50" applyNumberFormat="1" applyFont="1" applyFill="1" applyBorder="1" applyAlignment="1">
      <alignment horizontal="center" vertical="center" wrapText="1"/>
    </xf>
    <xf numFmtId="179" fontId="14" fillId="0" borderId="12" xfId="50" applyNumberFormat="1" applyFont="1" applyFill="1" applyBorder="1" applyAlignment="1">
      <alignment horizontal="center" vertical="center" wrapText="1"/>
    </xf>
    <xf numFmtId="179" fontId="14" fillId="0" borderId="10" xfId="50" applyNumberFormat="1" applyFont="1" applyBorder="1" applyAlignment="1">
      <alignment horizontal="center" vertical="center" wrapText="1"/>
    </xf>
    <xf numFmtId="179" fontId="14" fillId="0" borderId="10" xfId="50" applyNumberFormat="1" applyFont="1" applyFill="1" applyBorder="1" applyAlignment="1">
      <alignment horizontal="center" vertical="center" wrapText="1"/>
    </xf>
    <xf numFmtId="0" fontId="13" fillId="33" borderId="10" xfId="58" applyFont="1" applyFill="1" applyBorder="1" applyAlignment="1">
      <alignment horizontal="center" vertical="center" wrapText="1"/>
      <protection/>
    </xf>
    <xf numFmtId="0" fontId="40" fillId="0" borderId="16" xfId="58" applyFont="1" applyBorder="1" applyAlignment="1">
      <alignment horizontal="center" vertical="center" wrapText="1"/>
      <protection/>
    </xf>
    <xf numFmtId="0" fontId="40" fillId="0" borderId="15" xfId="58" applyFont="1" applyBorder="1" applyAlignment="1">
      <alignment horizontal="center" vertical="center" wrapText="1"/>
      <protection/>
    </xf>
    <xf numFmtId="0" fontId="40" fillId="0" borderId="12" xfId="58" applyFont="1" applyBorder="1" applyAlignment="1">
      <alignment horizontal="center" vertical="center" wrapText="1"/>
      <protection/>
    </xf>
    <xf numFmtId="0" fontId="17" fillId="33" borderId="16" xfId="58" applyFont="1" applyFill="1" applyBorder="1" applyAlignment="1">
      <alignment horizontal="center" vertical="center" wrapText="1"/>
      <protection/>
    </xf>
    <xf numFmtId="0" fontId="17" fillId="33" borderId="15" xfId="58" applyFont="1" applyFill="1" applyBorder="1" applyAlignment="1">
      <alignment horizontal="center" vertical="center" wrapText="1"/>
      <protection/>
    </xf>
    <xf numFmtId="0" fontId="17" fillId="33" borderId="12" xfId="58" applyFont="1" applyFill="1" applyBorder="1" applyAlignment="1">
      <alignment horizontal="center" vertical="center" wrapText="1"/>
      <protection/>
    </xf>
    <xf numFmtId="4" fontId="14" fillId="35" borderId="16" xfId="58" applyNumberFormat="1" applyFont="1" applyFill="1" applyBorder="1" applyAlignment="1">
      <alignment horizontal="center" vertical="center" wrapText="1"/>
      <protection/>
    </xf>
    <xf numFmtId="4" fontId="14" fillId="35" borderId="15" xfId="58" applyNumberFormat="1" applyFont="1" applyFill="1" applyBorder="1" applyAlignment="1">
      <alignment horizontal="center" vertical="center" wrapText="1"/>
      <protection/>
    </xf>
    <xf numFmtId="4" fontId="14" fillId="35" borderId="12" xfId="58" applyNumberFormat="1" applyFont="1" applyFill="1" applyBorder="1" applyAlignment="1">
      <alignment horizontal="center" vertical="center" wrapText="1"/>
      <protection/>
    </xf>
    <xf numFmtId="0" fontId="14" fillId="0" borderId="16" xfId="58" applyFont="1" applyBorder="1" applyAlignment="1">
      <alignment horizontal="center" vertical="center" wrapText="1"/>
      <protection/>
    </xf>
    <xf numFmtId="0" fontId="14" fillId="0" borderId="15" xfId="58" applyFont="1" applyBorder="1" applyAlignment="1">
      <alignment horizontal="center" vertical="center" wrapText="1"/>
      <protection/>
    </xf>
    <xf numFmtId="0" fontId="14" fillId="0" borderId="12" xfId="58" applyFont="1" applyBorder="1" applyAlignment="1">
      <alignment horizontal="center" vertical="center" wrapText="1"/>
      <protection/>
    </xf>
    <xf numFmtId="4" fontId="14" fillId="34" borderId="16" xfId="58" applyNumberFormat="1" applyFont="1" applyFill="1" applyBorder="1" applyAlignment="1">
      <alignment horizontal="center" vertical="center" wrapText="1"/>
      <protection/>
    </xf>
    <xf numFmtId="4" fontId="14" fillId="34" borderId="15" xfId="58" applyNumberFormat="1" applyFont="1" applyFill="1" applyBorder="1" applyAlignment="1">
      <alignment horizontal="center" vertical="center" wrapText="1"/>
      <protection/>
    </xf>
    <xf numFmtId="4" fontId="14" fillId="34" borderId="12" xfId="58" applyNumberFormat="1" applyFont="1" applyFill="1" applyBorder="1" applyAlignment="1">
      <alignment horizontal="center" vertical="center" wrapText="1"/>
      <protection/>
    </xf>
    <xf numFmtId="4" fontId="11" fillId="0" borderId="16" xfId="58" applyNumberFormat="1" applyFont="1" applyFill="1" applyBorder="1" applyAlignment="1">
      <alignment horizontal="center" vertical="center" wrapText="1"/>
      <protection/>
    </xf>
    <xf numFmtId="4" fontId="11" fillId="0" borderId="15" xfId="58" applyNumberFormat="1" applyFont="1" applyFill="1" applyBorder="1" applyAlignment="1">
      <alignment horizontal="center" vertical="center" wrapText="1"/>
      <protection/>
    </xf>
    <xf numFmtId="4" fontId="11" fillId="0" borderId="12" xfId="58" applyNumberFormat="1" applyFont="1" applyFill="1" applyBorder="1" applyAlignment="1">
      <alignment horizontal="center" vertical="center" wrapText="1"/>
      <protection/>
    </xf>
    <xf numFmtId="4" fontId="11" fillId="43" borderId="16" xfId="58" applyNumberFormat="1" applyFont="1" applyFill="1" applyBorder="1" applyAlignment="1">
      <alignment horizontal="center" vertical="center" wrapText="1"/>
      <protection/>
    </xf>
    <xf numFmtId="4" fontId="11" fillId="43" borderId="15" xfId="58" applyNumberFormat="1" applyFont="1" applyFill="1" applyBorder="1" applyAlignment="1">
      <alignment horizontal="center" vertical="center" wrapText="1"/>
      <protection/>
    </xf>
    <xf numFmtId="4" fontId="11" fillId="43" borderId="12" xfId="58" applyNumberFormat="1" applyFont="1" applyFill="1" applyBorder="1" applyAlignment="1">
      <alignment horizontal="center" vertical="center" wrapText="1"/>
      <protection/>
    </xf>
    <xf numFmtId="4" fontId="14" fillId="33" borderId="16" xfId="58" applyNumberFormat="1" applyFont="1" applyFill="1" applyBorder="1" applyAlignment="1">
      <alignment horizontal="center" vertical="center" wrapText="1"/>
      <protection/>
    </xf>
    <xf numFmtId="4" fontId="14" fillId="33" borderId="15" xfId="58" applyNumberFormat="1" applyFont="1" applyFill="1" applyBorder="1" applyAlignment="1">
      <alignment horizontal="center" vertical="center" wrapText="1"/>
      <protection/>
    </xf>
    <xf numFmtId="4" fontId="14" fillId="33" borderId="12" xfId="58" applyNumberFormat="1" applyFont="1" applyFill="1" applyBorder="1" applyAlignment="1">
      <alignment horizontal="center" vertical="center" wrapText="1"/>
      <protection/>
    </xf>
    <xf numFmtId="0" fontId="22" fillId="0" borderId="37" xfId="58" applyFont="1" applyBorder="1" applyAlignment="1">
      <alignment horizontal="center" vertical="center" wrapText="1"/>
      <protection/>
    </xf>
    <xf numFmtId="0" fontId="14" fillId="0" borderId="11" xfId="58" applyFont="1" applyBorder="1" applyAlignment="1">
      <alignment horizontal="center" vertical="center" wrapText="1"/>
      <protection/>
    </xf>
    <xf numFmtId="0" fontId="14" fillId="0" borderId="25" xfId="58" applyFont="1" applyBorder="1" applyAlignment="1">
      <alignment horizontal="center" vertical="center" wrapText="1"/>
      <protection/>
    </xf>
    <xf numFmtId="179" fontId="14" fillId="0" borderId="11" xfId="50" applyNumberFormat="1" applyFont="1" applyFill="1" applyBorder="1" applyAlignment="1">
      <alignment horizontal="center" vertical="center" wrapText="1"/>
    </xf>
    <xf numFmtId="179" fontId="14" fillId="0" borderId="25" xfId="50" applyNumberFormat="1" applyFont="1" applyFill="1" applyBorder="1" applyAlignment="1">
      <alignment horizontal="center" vertical="center" wrapText="1"/>
    </xf>
    <xf numFmtId="0" fontId="14" fillId="0" borderId="14" xfId="58" applyFont="1" applyBorder="1" applyAlignment="1">
      <alignment horizontal="center" vertical="center" wrapText="1"/>
      <protection/>
    </xf>
    <xf numFmtId="179" fontId="14" fillId="0" borderId="14" xfId="50" applyNumberFormat="1" applyFont="1" applyFill="1" applyBorder="1" applyAlignment="1">
      <alignment horizontal="center" vertical="center" wrapText="1"/>
    </xf>
    <xf numFmtId="0" fontId="14" fillId="0" borderId="11" xfId="58" applyFont="1" applyBorder="1" applyAlignment="1">
      <alignment horizontal="left" vertical="center" wrapText="1"/>
      <protection/>
    </xf>
    <xf numFmtId="0" fontId="14" fillId="0" borderId="25" xfId="58" applyFont="1" applyBorder="1" applyAlignment="1">
      <alignment horizontal="left" vertical="center" wrapText="1"/>
      <protection/>
    </xf>
    <xf numFmtId="0" fontId="14" fillId="0" borderId="14" xfId="58" applyFont="1" applyBorder="1" applyAlignment="1">
      <alignment horizontal="left" vertical="center" wrapText="1"/>
      <protection/>
    </xf>
    <xf numFmtId="179" fontId="14" fillId="0" borderId="36" xfId="50" applyNumberFormat="1" applyFont="1" applyFill="1" applyBorder="1" applyAlignment="1">
      <alignment horizontal="center" vertical="center" wrapText="1"/>
    </xf>
    <xf numFmtId="179" fontId="14" fillId="0" borderId="34" xfId="50" applyNumberFormat="1" applyFont="1" applyFill="1" applyBorder="1" applyAlignment="1">
      <alignment horizontal="center" vertical="center" wrapText="1"/>
    </xf>
    <xf numFmtId="4" fontId="14" fillId="43" borderId="16" xfId="58" applyNumberFormat="1" applyFont="1" applyFill="1" applyBorder="1" applyAlignment="1">
      <alignment horizontal="center" vertical="center" wrapText="1"/>
      <protection/>
    </xf>
    <xf numFmtId="4" fontId="14" fillId="43" borderId="15" xfId="58" applyNumberFormat="1" applyFont="1" applyFill="1" applyBorder="1" applyAlignment="1">
      <alignment horizontal="center" vertical="center" wrapText="1"/>
      <protection/>
    </xf>
    <xf numFmtId="4" fontId="14" fillId="43" borderId="12" xfId="58" applyNumberFormat="1" applyFont="1" applyFill="1" applyBorder="1" applyAlignment="1">
      <alignment horizontal="center" vertical="center" wrapText="1"/>
      <protection/>
    </xf>
    <xf numFmtId="4" fontId="11" fillId="33" borderId="16" xfId="58" applyNumberFormat="1" applyFont="1" applyFill="1" applyBorder="1" applyAlignment="1">
      <alignment horizontal="center" vertical="center" wrapText="1"/>
      <protection/>
    </xf>
    <xf numFmtId="4" fontId="11" fillId="33" borderId="15" xfId="58" applyNumberFormat="1" applyFont="1" applyFill="1" applyBorder="1" applyAlignment="1">
      <alignment horizontal="center" vertical="center" wrapText="1"/>
      <protection/>
    </xf>
    <xf numFmtId="4" fontId="11" fillId="33" borderId="12" xfId="58" applyNumberFormat="1" applyFont="1" applyFill="1" applyBorder="1" applyAlignment="1">
      <alignment horizontal="center" vertical="center" wrapText="1"/>
      <protection/>
    </xf>
    <xf numFmtId="0" fontId="14" fillId="0" borderId="33" xfId="58" applyFont="1" applyBorder="1" applyAlignment="1">
      <alignment horizontal="center" vertical="center" wrapText="1"/>
      <protection/>
    </xf>
    <xf numFmtId="0" fontId="14" fillId="0" borderId="0" xfId="58" applyFont="1" applyBorder="1" applyAlignment="1">
      <alignment horizontal="center" vertical="center" wrapText="1"/>
      <protection/>
    </xf>
    <xf numFmtId="0" fontId="14" fillId="0" borderId="37" xfId="58" applyFont="1" applyBorder="1" applyAlignment="1">
      <alignment horizontal="center" vertical="center" wrapText="1"/>
      <protection/>
    </xf>
    <xf numFmtId="0" fontId="13" fillId="33" borderId="36" xfId="58" applyFont="1" applyFill="1" applyBorder="1" applyAlignment="1">
      <alignment horizontal="center" vertical="center" wrapText="1"/>
      <protection/>
    </xf>
    <xf numFmtId="0" fontId="13" fillId="33" borderId="33" xfId="58" applyFont="1" applyFill="1" applyBorder="1" applyAlignment="1">
      <alignment horizontal="center" vertical="center" wrapText="1"/>
      <protection/>
    </xf>
    <xf numFmtId="0" fontId="13" fillId="33" borderId="34" xfId="58" applyFont="1" applyFill="1" applyBorder="1" applyAlignment="1">
      <alignment horizontal="center" vertical="center" wrapText="1"/>
      <protection/>
    </xf>
    <xf numFmtId="0" fontId="13" fillId="33" borderId="38" xfId="58" applyFont="1" applyFill="1" applyBorder="1" applyAlignment="1">
      <alignment horizontal="center" vertical="center" wrapText="1"/>
      <protection/>
    </xf>
    <xf numFmtId="0" fontId="13" fillId="33" borderId="37" xfId="58" applyFont="1" applyFill="1" applyBorder="1" applyAlignment="1">
      <alignment horizontal="center" vertical="center" wrapText="1"/>
      <protection/>
    </xf>
    <xf numFmtId="0" fontId="13" fillId="33" borderId="39" xfId="58" applyFont="1" applyFill="1" applyBorder="1" applyAlignment="1">
      <alignment horizontal="center" vertical="center" wrapText="1"/>
      <protection/>
    </xf>
    <xf numFmtId="179" fontId="14" fillId="0" borderId="11" xfId="50" applyNumberFormat="1" applyFont="1" applyBorder="1" applyAlignment="1">
      <alignment horizontal="center" vertical="center" wrapText="1"/>
    </xf>
    <xf numFmtId="179" fontId="14" fillId="0" borderId="25" xfId="50" applyNumberFormat="1" applyFont="1" applyBorder="1" applyAlignment="1">
      <alignment horizontal="center" vertical="center" wrapText="1"/>
    </xf>
    <xf numFmtId="179" fontId="14" fillId="0" borderId="14" xfId="50" applyNumberFormat="1" applyFont="1" applyBorder="1" applyAlignment="1">
      <alignment horizontal="center" vertical="center" wrapText="1"/>
    </xf>
    <xf numFmtId="0" fontId="14" fillId="0" borderId="16" xfId="58" applyFont="1" applyFill="1" applyBorder="1" applyAlignment="1">
      <alignment horizontal="center" vertical="center" wrapText="1"/>
      <protection/>
    </xf>
    <xf numFmtId="0" fontId="14" fillId="0" borderId="15" xfId="58" applyFont="1" applyFill="1" applyBorder="1" applyAlignment="1">
      <alignment horizontal="center" vertical="center" wrapText="1"/>
      <protection/>
    </xf>
    <xf numFmtId="0" fontId="14" fillId="0" borderId="12" xfId="58" applyFont="1" applyFill="1" applyBorder="1" applyAlignment="1">
      <alignment horizontal="center" vertical="center" wrapText="1"/>
      <protection/>
    </xf>
    <xf numFmtId="3" fontId="4" fillId="35" borderId="16" xfId="0" applyNumberFormat="1" applyFont="1" applyFill="1" applyBorder="1" applyAlignment="1">
      <alignment horizontal="center" vertical="center" wrapText="1"/>
    </xf>
    <xf numFmtId="3" fontId="4" fillId="35" borderId="15" xfId="0" applyNumberFormat="1" applyFont="1" applyFill="1" applyBorder="1" applyAlignment="1">
      <alignment horizontal="center" vertical="center" wrapText="1"/>
    </xf>
    <xf numFmtId="3" fontId="4" fillId="35" borderId="12" xfId="0" applyNumberFormat="1" applyFont="1" applyFill="1" applyBorder="1" applyAlignment="1">
      <alignment horizontal="center" vertical="center" wrapText="1"/>
    </xf>
    <xf numFmtId="3" fontId="8" fillId="0" borderId="37" xfId="0" applyNumberFormat="1" applyFont="1" applyBorder="1" applyAlignment="1">
      <alignment horizontal="center" vertical="center" wrapText="1"/>
    </xf>
    <xf numFmtId="3" fontId="4" fillId="35"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xf>
    <xf numFmtId="3" fontId="4" fillId="39" borderId="10" xfId="0" applyNumberFormat="1" applyFont="1" applyFill="1" applyBorder="1" applyAlignment="1">
      <alignment horizontal="center" vertical="center" wrapText="1"/>
    </xf>
    <xf numFmtId="0" fontId="14" fillId="42" borderId="16" xfId="58" applyFont="1" applyFill="1" applyBorder="1" applyAlignment="1">
      <alignment horizontal="center" vertical="center" wrapText="1"/>
      <protection/>
    </xf>
    <xf numFmtId="0" fontId="14" fillId="42" borderId="15" xfId="58" applyFont="1" applyFill="1" applyBorder="1" applyAlignment="1">
      <alignment horizontal="center" vertical="center" wrapText="1"/>
      <protection/>
    </xf>
    <xf numFmtId="0" fontId="14" fillId="42" borderId="12" xfId="58" applyFont="1" applyFill="1" applyBorder="1" applyAlignment="1">
      <alignment horizontal="center" vertical="center" wrapText="1"/>
      <protection/>
    </xf>
    <xf numFmtId="0" fontId="0" fillId="0" borderId="0" xfId="0" applyAlignment="1">
      <alignment horizontal="center" vertical="center"/>
    </xf>
    <xf numFmtId="0" fontId="0" fillId="0" borderId="0" xfId="0" applyAlignment="1">
      <alignment horizontal="center"/>
    </xf>
    <xf numFmtId="0" fontId="0" fillId="0" borderId="14" xfId="0" applyBorder="1" applyAlignment="1">
      <alignment horizontal="left" vertical="center" wrapText="1"/>
    </xf>
  </cellXfs>
  <cellStyles count="6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2" xfId="48"/>
    <cellStyle name="Migliaia 2 2" xfId="49"/>
    <cellStyle name="Migliaia 3" xfId="50"/>
    <cellStyle name="Migliaia 3 2" xfId="51"/>
    <cellStyle name="Migliaia 4" xfId="52"/>
    <cellStyle name="Migliaia 4 2" xfId="53"/>
    <cellStyle name="Migliaia 4 2 2" xfId="54"/>
    <cellStyle name="Migliaia 4 3" xfId="55"/>
    <cellStyle name="Migliaia 5" xfId="56"/>
    <cellStyle name="Neutrale" xfId="57"/>
    <cellStyle name="Normale 2" xfId="58"/>
    <cellStyle name="Normale 2 2" xfId="59"/>
    <cellStyle name="Normale_Foglio1" xfId="60"/>
    <cellStyle name="Nota" xfId="61"/>
    <cellStyle name="Output" xfId="62"/>
    <cellStyle name="Percent" xfId="63"/>
    <cellStyle name="Testo avviso" xfId="64"/>
    <cellStyle name="Testo descrittivo" xfId="65"/>
    <cellStyle name="Titolo" xfId="66"/>
    <cellStyle name="Titolo 1" xfId="67"/>
    <cellStyle name="Titolo 2" xfId="68"/>
    <cellStyle name="Titolo 3" xfId="69"/>
    <cellStyle name="Titolo 4" xfId="70"/>
    <cellStyle name="Totale" xfId="71"/>
    <cellStyle name="Valore non valido" xfId="72"/>
    <cellStyle name="Valore valido" xfId="73"/>
    <cellStyle name="Currency" xfId="74"/>
    <cellStyle name="Currency [0]" xfId="75"/>
    <cellStyle name="Valuta 2" xfId="76"/>
    <cellStyle name="Valuta 2 2" xfId="77"/>
    <cellStyle name="Valuta 3" xfId="78"/>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E65"/>
  <sheetViews>
    <sheetView zoomScale="80" zoomScaleNormal="80" zoomScalePageLayoutView="0" workbookViewId="0" topLeftCell="M1">
      <selection activeCell="N6" sqref="N6:Y61"/>
    </sheetView>
  </sheetViews>
  <sheetFormatPr defaultColWidth="11.421875" defaultRowHeight="21.75" customHeight="1"/>
  <cols>
    <col min="1" max="1" width="27.28125" style="1" customWidth="1"/>
    <col min="2" max="4" width="16.421875" style="1" customWidth="1"/>
    <col min="5" max="5" width="17.421875" style="1" customWidth="1"/>
    <col min="6" max="6" width="15.7109375" style="1" customWidth="1"/>
    <col min="7" max="7" width="16.7109375" style="1" bestFit="1" customWidth="1"/>
    <col min="8" max="9" width="16.140625" style="1" customWidth="1"/>
    <col min="10" max="11" width="16.7109375" style="1" bestFit="1" customWidth="1"/>
    <col min="12" max="12" width="15.8515625" style="1" customWidth="1"/>
    <col min="13" max="13" width="17.140625" style="1" customWidth="1"/>
    <col min="14" max="14" width="17.28125" style="1" customWidth="1"/>
    <col min="15" max="19" width="16.140625" style="1" customWidth="1"/>
    <col min="20" max="20" width="18.28125" style="1" customWidth="1"/>
    <col min="21" max="28" width="17.28125" style="1" customWidth="1"/>
    <col min="29" max="29" width="25.140625" style="1" customWidth="1"/>
    <col min="30" max="30" width="14.00390625" style="1" bestFit="1" customWidth="1"/>
    <col min="31" max="31" width="24.00390625" style="1" customWidth="1"/>
    <col min="32" max="16384" width="11.421875" style="1" customWidth="1"/>
  </cols>
  <sheetData>
    <row r="1" spans="1:29" ht="45" customHeight="1">
      <c r="A1" s="260" t="s">
        <v>63</v>
      </c>
      <c r="B1" s="262" t="s">
        <v>65</v>
      </c>
      <c r="C1" s="263"/>
      <c r="D1" s="263"/>
      <c r="E1" s="263"/>
      <c r="F1" s="264"/>
      <c r="G1" s="265" t="s">
        <v>71</v>
      </c>
      <c r="H1" s="266"/>
      <c r="I1" s="267"/>
      <c r="J1" s="268" t="s">
        <v>62</v>
      </c>
      <c r="K1" s="269"/>
      <c r="L1" s="269"/>
      <c r="M1" s="270"/>
      <c r="N1" s="273" t="s">
        <v>72</v>
      </c>
      <c r="O1" s="274"/>
      <c r="P1" s="275" t="s">
        <v>73</v>
      </c>
      <c r="Q1" s="276"/>
      <c r="R1" s="276"/>
      <c r="S1" s="277"/>
      <c r="T1" s="275" t="s">
        <v>102</v>
      </c>
      <c r="U1" s="277"/>
      <c r="V1" s="117" t="s">
        <v>104</v>
      </c>
      <c r="W1" s="275" t="s">
        <v>136</v>
      </c>
      <c r="X1" s="276"/>
      <c r="Y1" s="276"/>
      <c r="Z1" s="276"/>
      <c r="AA1" s="276"/>
      <c r="AB1" s="277"/>
      <c r="AC1" s="271" t="s">
        <v>75</v>
      </c>
    </row>
    <row r="2" spans="1:29" ht="51.75" customHeight="1" thickBot="1">
      <c r="A2" s="261"/>
      <c r="B2" s="121" t="s">
        <v>0</v>
      </c>
      <c r="C2" s="121" t="s">
        <v>1</v>
      </c>
      <c r="D2" s="121" t="s">
        <v>2</v>
      </c>
      <c r="E2" s="121" t="s">
        <v>3</v>
      </c>
      <c r="F2" s="121" t="s">
        <v>78</v>
      </c>
      <c r="G2" s="121" t="s">
        <v>66</v>
      </c>
      <c r="H2" s="121" t="s">
        <v>67</v>
      </c>
      <c r="I2" s="121" t="s">
        <v>61</v>
      </c>
      <c r="J2" s="122" t="s">
        <v>59</v>
      </c>
      <c r="K2" s="123" t="s">
        <v>60</v>
      </c>
      <c r="L2" s="123" t="s">
        <v>68</v>
      </c>
      <c r="M2" s="121" t="s">
        <v>61</v>
      </c>
      <c r="N2" s="137">
        <v>2014</v>
      </c>
      <c r="O2" s="137">
        <v>2015</v>
      </c>
      <c r="P2" s="137">
        <v>2014</v>
      </c>
      <c r="Q2" s="137">
        <v>2015</v>
      </c>
      <c r="R2" s="137">
        <v>2016</v>
      </c>
      <c r="S2" s="137">
        <v>2017</v>
      </c>
      <c r="T2" s="137">
        <v>2014</v>
      </c>
      <c r="U2" s="137">
        <v>2015</v>
      </c>
      <c r="V2" s="137">
        <v>2014</v>
      </c>
      <c r="W2" s="137">
        <v>2015</v>
      </c>
      <c r="X2" s="137">
        <v>2016</v>
      </c>
      <c r="Y2" s="137">
        <v>2017</v>
      </c>
      <c r="Z2" s="137">
        <v>2018</v>
      </c>
      <c r="AA2" s="137">
        <v>2019</v>
      </c>
      <c r="AB2" s="137">
        <v>2020</v>
      </c>
      <c r="AC2" s="272"/>
    </row>
    <row r="3" spans="1:31" ht="30.75" customHeight="1">
      <c r="A3" s="172" t="s">
        <v>4</v>
      </c>
      <c r="B3" s="155">
        <v>20000000</v>
      </c>
      <c r="C3" s="155">
        <v>46055118.51</v>
      </c>
      <c r="D3" s="155">
        <v>48308094.58</v>
      </c>
      <c r="E3" s="155">
        <v>19569859.22</v>
      </c>
      <c r="F3" s="156">
        <f>SUM(B3:E3)</f>
        <v>133933072.31</v>
      </c>
      <c r="G3" s="155">
        <v>154274187.69</v>
      </c>
      <c r="H3" s="155">
        <v>56700000</v>
      </c>
      <c r="I3" s="155">
        <f>SUM(G3:H3)</f>
        <v>210974187.69</v>
      </c>
      <c r="J3" s="257">
        <v>660000000</v>
      </c>
      <c r="K3" s="258"/>
      <c r="L3" s="259"/>
      <c r="M3" s="129">
        <f>J3</f>
        <v>660000000</v>
      </c>
      <c r="N3" s="130">
        <v>167000000</v>
      </c>
      <c r="O3" s="130">
        <v>158000000</v>
      </c>
      <c r="P3" s="130">
        <v>114483474</v>
      </c>
      <c r="Q3" s="130">
        <f>114483474+421032</f>
        <v>114904506</v>
      </c>
      <c r="R3" s="130">
        <v>114483474</v>
      </c>
      <c r="S3" s="130">
        <v>114062442</v>
      </c>
      <c r="T3" s="130">
        <f>142525129+63294575.83+69861565.25</f>
        <v>275681270.08</v>
      </c>
      <c r="U3" s="130">
        <f>205819704.82+41031967.36+5512789</f>
        <v>252364461.18</v>
      </c>
      <c r="V3" s="130">
        <v>210000000</v>
      </c>
      <c r="W3" s="130">
        <f>190000000+3866442</f>
        <v>193866442</v>
      </c>
      <c r="X3" s="130">
        <f>291650886.24+150000000+40004868.335</f>
        <v>481655754.575</v>
      </c>
      <c r="Y3" s="130">
        <f>432682004+85618957.3890384</f>
        <v>518300961.3890384</v>
      </c>
      <c r="Z3" s="130">
        <v>541883572.775952</v>
      </c>
      <c r="AA3" s="130"/>
      <c r="AB3" s="130"/>
      <c r="AC3" s="131">
        <f>SUM(N3:AB3)+M3+I3+F3</f>
        <v>4261593617.9999905</v>
      </c>
      <c r="AE3" s="240"/>
    </row>
    <row r="4" spans="1:31" ht="28.5" customHeight="1">
      <c r="A4" s="173" t="s">
        <v>107</v>
      </c>
      <c r="B4" s="157"/>
      <c r="C4" s="157"/>
      <c r="D4" s="157"/>
      <c r="E4" s="157"/>
      <c r="F4" s="158"/>
      <c r="G4" s="157"/>
      <c r="H4" s="157"/>
      <c r="I4" s="157"/>
      <c r="J4" s="143"/>
      <c r="K4" s="143"/>
      <c r="L4" s="143"/>
      <c r="M4" s="142"/>
      <c r="N4" s="141"/>
      <c r="O4" s="4">
        <f>91000000-O5</f>
        <v>0</v>
      </c>
      <c r="P4" s="4">
        <f>55982438.68+11253887.32-P5</f>
        <v>0</v>
      </c>
      <c r="Q4" s="4">
        <f>23787543.56+43448782.44-Q5</f>
        <v>0</v>
      </c>
      <c r="R4" s="4">
        <f>55982438.68+11253887.32-R5</f>
        <v>0</v>
      </c>
      <c r="S4" s="4">
        <f>67236326-S5</f>
        <v>0</v>
      </c>
      <c r="T4" s="141"/>
      <c r="U4" s="141"/>
      <c r="V4" s="141"/>
      <c r="W4" s="141"/>
      <c r="X4" s="141">
        <f>126235599.95-X5+40004868.335</f>
        <v>40004868.34500002</v>
      </c>
      <c r="Y4" s="141">
        <f>273946829+40000000-Y5</f>
        <v>79801450.76960003</v>
      </c>
      <c r="Z4" s="141">
        <v>69634532.0950006</v>
      </c>
      <c r="AA4" s="141"/>
      <c r="AB4" s="141"/>
      <c r="AC4" s="140">
        <f>SUM(N4:AB4)+M4+I4+F4</f>
        <v>189440851.20960066</v>
      </c>
      <c r="AD4" s="3"/>
      <c r="AE4" s="240"/>
    </row>
    <row r="5" spans="1:31" ht="29.25" customHeight="1" thickBot="1">
      <c r="A5" s="133" t="s">
        <v>64</v>
      </c>
      <c r="B5" s="159">
        <f>SUM(B6:B61)</f>
        <v>29275345.659999996</v>
      </c>
      <c r="C5" s="159">
        <f>SUM(C6:C61)</f>
        <v>25942036.519999996</v>
      </c>
      <c r="D5" s="159">
        <f>SUM(D6:D61)</f>
        <v>29016869.3</v>
      </c>
      <c r="E5" s="159">
        <f>SUM(E6:E61)</f>
        <v>21934076.930000003</v>
      </c>
      <c r="F5" s="205">
        <f aca="true" t="shared" si="0" ref="F5:F36">SUM(B5:E5)</f>
        <v>106168328.41</v>
      </c>
      <c r="G5" s="159">
        <v>90605475.32000001</v>
      </c>
      <c r="H5" s="159">
        <v>33299999.99</v>
      </c>
      <c r="I5" s="159">
        <v>123905475.31</v>
      </c>
      <c r="J5" s="134">
        <v>120251807</v>
      </c>
      <c r="K5" s="134">
        <f>SUM(K6:K61)</f>
        <v>141348192.99999997</v>
      </c>
      <c r="L5" s="134">
        <v>8400000</v>
      </c>
      <c r="M5" s="134">
        <v>270000000</v>
      </c>
      <c r="N5" s="135">
        <v>99000000</v>
      </c>
      <c r="O5" s="144">
        <f>SUM(O6:O61)</f>
        <v>91000000.00000001</v>
      </c>
      <c r="P5" s="144">
        <f>SUM(P6:P61)</f>
        <v>67236326</v>
      </c>
      <c r="Q5" s="144">
        <f>SUM(Q6:Q61)</f>
        <v>67236325.99999999</v>
      </c>
      <c r="R5" s="144">
        <f>SUM(R6:R61)</f>
        <v>67236326</v>
      </c>
      <c r="S5" s="144">
        <f>SUM(S6:S61)</f>
        <v>67236326</v>
      </c>
      <c r="T5" s="135"/>
      <c r="U5" s="135"/>
      <c r="V5" s="135"/>
      <c r="W5" s="135"/>
      <c r="X5" s="135">
        <f>SUM(X6:X61)</f>
        <v>126235599.93999998</v>
      </c>
      <c r="Y5" s="135">
        <f>SUM(Y6:Y61)</f>
        <v>234145378.23039997</v>
      </c>
      <c r="Z5" s="135"/>
      <c r="AA5" s="135"/>
      <c r="AB5" s="135"/>
      <c r="AC5" s="145">
        <f>SUM(AC6:AC61)</f>
        <v>1319400085.8604004</v>
      </c>
      <c r="AE5" s="240"/>
    </row>
    <row r="6" spans="1:31" ht="21.75" customHeight="1">
      <c r="A6" s="124" t="s">
        <v>5</v>
      </c>
      <c r="B6" s="160">
        <v>500000</v>
      </c>
      <c r="C6" s="160"/>
      <c r="D6" s="160"/>
      <c r="E6" s="160">
        <v>196316.48</v>
      </c>
      <c r="F6" s="161">
        <f t="shared" si="0"/>
        <v>696316.48</v>
      </c>
      <c r="G6" s="160">
        <v>1615938.1</v>
      </c>
      <c r="H6" s="160">
        <v>593901.62</v>
      </c>
      <c r="I6" s="161">
        <f aca="true" t="shared" si="1" ref="I6:I37">SUM(G6:H6)</f>
        <v>2209839.72</v>
      </c>
      <c r="J6" s="160">
        <v>2136122.51</v>
      </c>
      <c r="K6" s="160">
        <v>2510873.35</v>
      </c>
      <c r="L6" s="162">
        <v>149215.46</v>
      </c>
      <c r="M6" s="125">
        <f aca="true" t="shared" si="2" ref="M6:M37">SUM(J6:L6)</f>
        <v>4796211.319999999</v>
      </c>
      <c r="N6" s="154">
        <v>1758610.82</v>
      </c>
      <c r="O6" s="154">
        <v>2925241.6999999997</v>
      </c>
      <c r="P6" s="154">
        <v>5143426.210000001</v>
      </c>
      <c r="Q6" s="154">
        <v>2161346.19</v>
      </c>
      <c r="R6" s="154">
        <v>5086587.9</v>
      </c>
      <c r="S6" s="154">
        <v>1503575.28</v>
      </c>
      <c r="T6" s="126"/>
      <c r="U6" s="126"/>
      <c r="V6" s="126"/>
      <c r="W6" s="126"/>
      <c r="X6" s="39">
        <v>6841848.46</v>
      </c>
      <c r="Y6" s="126">
        <v>2147045.04</v>
      </c>
      <c r="Z6" s="126"/>
      <c r="AA6" s="126"/>
      <c r="AB6" s="126"/>
      <c r="AC6" s="127">
        <f>SUM(N6:AB6)+M6+I6+F6</f>
        <v>35270049.12</v>
      </c>
      <c r="AE6" s="3"/>
    </row>
    <row r="7" spans="1:31" ht="21.75" customHeight="1">
      <c r="A7" s="2" t="s">
        <v>6</v>
      </c>
      <c r="B7" s="163">
        <f>500000+142470.76</f>
        <v>642470.76</v>
      </c>
      <c r="C7" s="163">
        <v>1097345.51</v>
      </c>
      <c r="D7" s="163"/>
      <c r="E7" s="163"/>
      <c r="F7" s="164">
        <f t="shared" si="0"/>
        <v>1739816.27</v>
      </c>
      <c r="G7" s="163">
        <v>695027.14</v>
      </c>
      <c r="H7" s="163">
        <v>255441.56</v>
      </c>
      <c r="I7" s="164">
        <f t="shared" si="1"/>
        <v>950468.7</v>
      </c>
      <c r="J7" s="163">
        <v>1653018.79</v>
      </c>
      <c r="K7" s="163">
        <v>1943016.29</v>
      </c>
      <c r="L7" s="165">
        <v>115469.02</v>
      </c>
      <c r="M7" s="118">
        <f t="shared" si="2"/>
        <v>3711504.1</v>
      </c>
      <c r="N7" s="166">
        <v>1360884.84</v>
      </c>
      <c r="O7" s="166">
        <v>0</v>
      </c>
      <c r="P7" s="39">
        <v>0</v>
      </c>
      <c r="Q7" s="39">
        <v>0</v>
      </c>
      <c r="R7" s="39">
        <v>0</v>
      </c>
      <c r="S7" s="39">
        <v>2471235.39</v>
      </c>
      <c r="T7" s="119"/>
      <c r="U7" s="119"/>
      <c r="V7" s="119"/>
      <c r="W7" s="119"/>
      <c r="X7" s="39">
        <v>2116100.7800000003</v>
      </c>
      <c r="Y7" s="119">
        <v>0</v>
      </c>
      <c r="Z7" s="119"/>
      <c r="AA7" s="119"/>
      <c r="AB7" s="119"/>
      <c r="AC7" s="120">
        <f aca="true" t="shared" si="3" ref="AC7:AC37">SUM(N7:AB7)+M7+I7+F7</f>
        <v>12350010.08</v>
      </c>
      <c r="AE7" s="3"/>
    </row>
    <row r="8" spans="1:31" ht="21.75" customHeight="1">
      <c r="A8" s="2" t="s">
        <v>7</v>
      </c>
      <c r="B8" s="163">
        <v>500000</v>
      </c>
      <c r="C8" s="163">
        <v>786749.41</v>
      </c>
      <c r="D8" s="163"/>
      <c r="E8" s="163">
        <v>218294.07</v>
      </c>
      <c r="F8" s="164">
        <f t="shared" si="0"/>
        <v>1505043.4800000002</v>
      </c>
      <c r="G8" s="163">
        <v>1494308.35</v>
      </c>
      <c r="H8" s="163">
        <v>549199.35</v>
      </c>
      <c r="I8" s="164">
        <f t="shared" si="1"/>
        <v>2043507.7000000002</v>
      </c>
      <c r="J8" s="163">
        <v>2072316.36</v>
      </c>
      <c r="K8" s="163">
        <v>2435873.36</v>
      </c>
      <c r="L8" s="165">
        <v>144758.38</v>
      </c>
      <c r="M8" s="118">
        <f t="shared" si="2"/>
        <v>4652948.1</v>
      </c>
      <c r="N8" s="166">
        <v>1706080.97</v>
      </c>
      <c r="O8" s="166">
        <v>1059459.73</v>
      </c>
      <c r="P8" s="39">
        <v>1842252.9</v>
      </c>
      <c r="Q8" s="39">
        <v>2298125.42</v>
      </c>
      <c r="R8" s="39">
        <v>1842252.88</v>
      </c>
      <c r="S8" s="39">
        <v>0</v>
      </c>
      <c r="T8" s="119"/>
      <c r="U8" s="119"/>
      <c r="V8" s="119"/>
      <c r="W8" s="119"/>
      <c r="X8" s="39">
        <v>5600756.4</v>
      </c>
      <c r="Y8" s="119">
        <v>834244.78</v>
      </c>
      <c r="Z8" s="119"/>
      <c r="AA8" s="119"/>
      <c r="AB8" s="119"/>
      <c r="AC8" s="120">
        <f t="shared" si="3"/>
        <v>23384672.36</v>
      </c>
      <c r="AE8" s="3"/>
    </row>
    <row r="9" spans="1:31" ht="21.75" customHeight="1">
      <c r="A9" s="2" t="s">
        <v>8</v>
      </c>
      <c r="B9" s="163">
        <v>500000</v>
      </c>
      <c r="C9" s="163">
        <v>1677815.05</v>
      </c>
      <c r="D9" s="163">
        <f>1160163.19</f>
        <v>1160163.19</v>
      </c>
      <c r="E9" s="163">
        <v>530748.02</v>
      </c>
      <c r="F9" s="164">
        <f t="shared" si="0"/>
        <v>3868726.26</v>
      </c>
      <c r="G9" s="163">
        <v>6138736.12</v>
      </c>
      <c r="H9" s="163">
        <v>2256154.08</v>
      </c>
      <c r="I9" s="164">
        <f t="shared" si="1"/>
        <v>8394890.2</v>
      </c>
      <c r="J9" s="163">
        <v>4547083.5</v>
      </c>
      <c r="K9" s="163">
        <v>5344801.49</v>
      </c>
      <c r="L9" s="165">
        <v>317629.34</v>
      </c>
      <c r="M9" s="118">
        <f t="shared" si="2"/>
        <v>10209514.33</v>
      </c>
      <c r="N9" s="166">
        <v>3743488.59</v>
      </c>
      <c r="O9" s="166">
        <v>13198814.690000001</v>
      </c>
      <c r="P9" s="39">
        <v>13168545.8</v>
      </c>
      <c r="Q9" s="39">
        <v>9520994.29</v>
      </c>
      <c r="R9" s="39">
        <v>13168545.8</v>
      </c>
      <c r="S9" s="39">
        <v>2554709.72</v>
      </c>
      <c r="T9" s="119"/>
      <c r="U9" s="119"/>
      <c r="V9" s="119"/>
      <c r="W9" s="119"/>
      <c r="X9" s="39">
        <v>5316993.65</v>
      </c>
      <c r="Y9" s="119">
        <v>9465756.97</v>
      </c>
      <c r="Z9" s="119"/>
      <c r="AA9" s="119"/>
      <c r="AB9" s="119"/>
      <c r="AC9" s="120">
        <f t="shared" si="3"/>
        <v>92610980.30000001</v>
      </c>
      <c r="AE9" s="3"/>
    </row>
    <row r="10" spans="1:31" ht="21.75" customHeight="1">
      <c r="A10" s="2" t="s">
        <v>9</v>
      </c>
      <c r="B10" s="163">
        <v>500000</v>
      </c>
      <c r="C10" s="163"/>
      <c r="D10" s="163"/>
      <c r="E10" s="163"/>
      <c r="F10" s="164">
        <f t="shared" si="0"/>
        <v>500000</v>
      </c>
      <c r="G10" s="163">
        <v>364889.25</v>
      </c>
      <c r="H10" s="163">
        <v>134106.82</v>
      </c>
      <c r="I10" s="164">
        <f t="shared" si="1"/>
        <v>498996.07</v>
      </c>
      <c r="J10" s="163">
        <v>1479830.67</v>
      </c>
      <c r="K10" s="163">
        <v>1739444.89</v>
      </c>
      <c r="L10" s="165">
        <v>103371.24</v>
      </c>
      <c r="M10" s="118">
        <f t="shared" si="2"/>
        <v>3322646.8</v>
      </c>
      <c r="N10" s="166">
        <v>1218303.83</v>
      </c>
      <c r="O10" s="166">
        <v>0</v>
      </c>
      <c r="P10" s="39">
        <v>0</v>
      </c>
      <c r="Q10" s="39">
        <v>0</v>
      </c>
      <c r="R10" s="39">
        <v>0</v>
      </c>
      <c r="S10" s="39">
        <v>0</v>
      </c>
      <c r="T10" s="119"/>
      <c r="U10" s="119"/>
      <c r="V10" s="119"/>
      <c r="W10" s="119"/>
      <c r="X10" s="39">
        <v>0</v>
      </c>
      <c r="Y10" s="119">
        <v>1015909.45</v>
      </c>
      <c r="Z10" s="119"/>
      <c r="AA10" s="119"/>
      <c r="AB10" s="119"/>
      <c r="AC10" s="120">
        <f t="shared" si="3"/>
        <v>6555856.15</v>
      </c>
      <c r="AE10" s="3"/>
    </row>
    <row r="11" spans="1:31" ht="21.75" customHeight="1">
      <c r="A11" s="2" t="s">
        <v>10</v>
      </c>
      <c r="B11" s="163">
        <v>500000</v>
      </c>
      <c r="C11" s="163">
        <v>627049.71</v>
      </c>
      <c r="D11" s="163"/>
      <c r="E11" s="163"/>
      <c r="F11" s="164">
        <f t="shared" si="0"/>
        <v>1127049.71</v>
      </c>
      <c r="G11" s="163">
        <v>451767.64</v>
      </c>
      <c r="H11" s="163">
        <v>166037.01</v>
      </c>
      <c r="I11" s="164">
        <f t="shared" si="1"/>
        <v>617804.65</v>
      </c>
      <c r="J11" s="163">
        <v>1525406.49</v>
      </c>
      <c r="K11" s="163">
        <v>1793016.31</v>
      </c>
      <c r="L11" s="165">
        <v>106554.87</v>
      </c>
      <c r="M11" s="118">
        <f t="shared" si="2"/>
        <v>3424977.67</v>
      </c>
      <c r="N11" s="166">
        <v>1255825.14</v>
      </c>
      <c r="O11" s="166">
        <v>1100800.72</v>
      </c>
      <c r="P11" s="39">
        <v>1914139.14</v>
      </c>
      <c r="Q11" s="39">
        <v>945334.2100000001</v>
      </c>
      <c r="R11" s="39">
        <v>1914139.13</v>
      </c>
      <c r="S11" s="39">
        <v>0</v>
      </c>
      <c r="T11" s="119"/>
      <c r="U11" s="119"/>
      <c r="V11" s="119"/>
      <c r="W11" s="119"/>
      <c r="X11" s="39">
        <v>2883953.32</v>
      </c>
      <c r="Y11" s="119">
        <v>0</v>
      </c>
      <c r="Z11" s="119"/>
      <c r="AA11" s="119"/>
      <c r="AB11" s="119"/>
      <c r="AC11" s="120">
        <f t="shared" si="3"/>
        <v>15184023.690000001</v>
      </c>
      <c r="AE11" s="3"/>
    </row>
    <row r="12" spans="1:31" ht="21.75" customHeight="1">
      <c r="A12" s="2" t="s">
        <v>54</v>
      </c>
      <c r="B12" s="163">
        <v>500000</v>
      </c>
      <c r="C12" s="163">
        <v>1168516.1</v>
      </c>
      <c r="D12" s="163">
        <v>974135.18</v>
      </c>
      <c r="E12" s="163">
        <v>460285.48</v>
      </c>
      <c r="F12" s="164">
        <f t="shared" si="0"/>
        <v>3102936.7600000002</v>
      </c>
      <c r="G12" s="163">
        <v>1424805.63</v>
      </c>
      <c r="H12" s="163">
        <v>523655.19</v>
      </c>
      <c r="I12" s="164">
        <f t="shared" si="1"/>
        <v>1948460.8199999998</v>
      </c>
      <c r="J12" s="163">
        <v>2035855.7</v>
      </c>
      <c r="K12" s="163">
        <v>2393016.22</v>
      </c>
      <c r="L12" s="165">
        <v>142211.49</v>
      </c>
      <c r="M12" s="118">
        <f t="shared" si="2"/>
        <v>4571083.41</v>
      </c>
      <c r="N12" s="166">
        <v>1676063.92</v>
      </c>
      <c r="O12" s="166">
        <v>1482473.99</v>
      </c>
      <c r="P12" s="39">
        <v>2251210.46</v>
      </c>
      <c r="Q12" s="39">
        <v>935479.2999999999</v>
      </c>
      <c r="R12" s="39">
        <v>2251210.46</v>
      </c>
      <c r="S12" s="39">
        <v>6051412.59</v>
      </c>
      <c r="T12" s="119"/>
      <c r="U12" s="119"/>
      <c r="V12" s="119"/>
      <c r="W12" s="119"/>
      <c r="X12" s="39">
        <v>2631421.97</v>
      </c>
      <c r="Y12" s="119">
        <v>5287688.21</v>
      </c>
      <c r="Z12" s="119"/>
      <c r="AA12" s="119"/>
      <c r="AB12" s="119"/>
      <c r="AC12" s="120">
        <f t="shared" si="3"/>
        <v>32189441.89</v>
      </c>
      <c r="AE12" s="3"/>
    </row>
    <row r="13" spans="1:31" ht="21.75" customHeight="1">
      <c r="A13" s="2" t="s">
        <v>55</v>
      </c>
      <c r="B13" s="163">
        <v>500000</v>
      </c>
      <c r="C13" s="163"/>
      <c r="D13" s="163">
        <v>450497.85</v>
      </c>
      <c r="E13" s="163">
        <v>1507896.46</v>
      </c>
      <c r="F13" s="164">
        <f t="shared" si="0"/>
        <v>2458394.31</v>
      </c>
      <c r="G13" s="163">
        <v>894847.44</v>
      </c>
      <c r="H13" s="163">
        <v>328881</v>
      </c>
      <c r="I13" s="164">
        <f t="shared" si="1"/>
        <v>1223728.44</v>
      </c>
      <c r="J13" s="163">
        <v>1757843.18</v>
      </c>
      <c r="K13" s="163">
        <v>2066230.56</v>
      </c>
      <c r="L13" s="165">
        <v>122791.36</v>
      </c>
      <c r="M13" s="118">
        <f t="shared" si="2"/>
        <v>3946865.1</v>
      </c>
      <c r="N13" s="166">
        <v>1447183.87</v>
      </c>
      <c r="O13" s="166">
        <v>0</v>
      </c>
      <c r="P13" s="39">
        <v>0</v>
      </c>
      <c r="Q13" s="39">
        <v>0</v>
      </c>
      <c r="R13" s="39">
        <v>0</v>
      </c>
      <c r="S13" s="39">
        <v>0</v>
      </c>
      <c r="T13" s="119"/>
      <c r="U13" s="119"/>
      <c r="V13" s="119"/>
      <c r="W13" s="119"/>
      <c r="X13" s="39">
        <v>0</v>
      </c>
      <c r="Y13" s="119">
        <v>0</v>
      </c>
      <c r="Z13" s="119"/>
      <c r="AA13" s="119"/>
      <c r="AB13" s="119"/>
      <c r="AC13" s="120">
        <f t="shared" si="3"/>
        <v>9076171.72</v>
      </c>
      <c r="AE13" s="3"/>
    </row>
    <row r="14" spans="1:31" ht="21.75" customHeight="1">
      <c r="A14" s="2" t="s">
        <v>11</v>
      </c>
      <c r="B14" s="163">
        <v>500000</v>
      </c>
      <c r="C14" s="163"/>
      <c r="D14" s="163">
        <v>954547.8</v>
      </c>
      <c r="E14" s="163"/>
      <c r="F14" s="164">
        <f t="shared" si="0"/>
        <v>1454547.8</v>
      </c>
      <c r="G14" s="163">
        <v>2276213.88</v>
      </c>
      <c r="H14" s="163">
        <v>836571.1</v>
      </c>
      <c r="I14" s="164">
        <f t="shared" si="1"/>
        <v>3112784.98</v>
      </c>
      <c r="J14" s="163">
        <v>2482498.75</v>
      </c>
      <c r="K14" s="163">
        <v>2918016.14</v>
      </c>
      <c r="L14" s="165">
        <v>173411.04</v>
      </c>
      <c r="M14" s="118">
        <f t="shared" si="2"/>
        <v>5573925.930000001</v>
      </c>
      <c r="N14" s="166">
        <v>2043772.84</v>
      </c>
      <c r="O14" s="166">
        <v>0</v>
      </c>
      <c r="P14" s="39">
        <v>0</v>
      </c>
      <c r="Q14" s="39">
        <v>0</v>
      </c>
      <c r="R14" s="39">
        <v>0</v>
      </c>
      <c r="S14" s="39">
        <v>1042448.276</v>
      </c>
      <c r="T14" s="119"/>
      <c r="U14" s="119"/>
      <c r="V14" s="119"/>
      <c r="W14" s="119"/>
      <c r="X14" s="39">
        <v>2547270.38</v>
      </c>
      <c r="Y14" s="119">
        <v>0</v>
      </c>
      <c r="Z14" s="119"/>
      <c r="AA14" s="119"/>
      <c r="AB14" s="119"/>
      <c r="AC14" s="120">
        <f t="shared" si="3"/>
        <v>15774750.206</v>
      </c>
      <c r="AE14" s="3"/>
    </row>
    <row r="15" spans="1:31" ht="21.75" customHeight="1">
      <c r="A15" s="2" t="s">
        <v>12</v>
      </c>
      <c r="B15" s="163">
        <v>500000</v>
      </c>
      <c r="C15" s="163"/>
      <c r="D15" s="163">
        <v>553515.01</v>
      </c>
      <c r="E15" s="163">
        <v>808649.26</v>
      </c>
      <c r="F15" s="164">
        <f t="shared" si="0"/>
        <v>1862164.27</v>
      </c>
      <c r="G15" s="163">
        <v>868783.92</v>
      </c>
      <c r="H15" s="163">
        <v>319301.95</v>
      </c>
      <c r="I15" s="164">
        <f t="shared" si="1"/>
        <v>1188085.87</v>
      </c>
      <c r="J15" s="163">
        <v>1744170.44</v>
      </c>
      <c r="K15" s="163">
        <v>2050159.13</v>
      </c>
      <c r="L15" s="165">
        <v>121836.27</v>
      </c>
      <c r="M15" s="118">
        <f t="shared" si="2"/>
        <v>3916165.84</v>
      </c>
      <c r="N15" s="166">
        <v>1435927.48</v>
      </c>
      <c r="O15" s="166">
        <v>5719106.01</v>
      </c>
      <c r="P15" s="39">
        <v>5272132.94</v>
      </c>
      <c r="Q15" s="39">
        <v>2083892.68</v>
      </c>
      <c r="R15" s="39">
        <v>5272132.930000001</v>
      </c>
      <c r="S15" s="39">
        <v>0</v>
      </c>
      <c r="T15" s="119"/>
      <c r="U15" s="119"/>
      <c r="V15" s="119"/>
      <c r="W15" s="119"/>
      <c r="X15" s="39">
        <v>481653.97</v>
      </c>
      <c r="Y15" s="119">
        <v>3101690.94</v>
      </c>
      <c r="Z15" s="119"/>
      <c r="AA15" s="119"/>
      <c r="AB15" s="119"/>
      <c r="AC15" s="120">
        <f t="shared" si="3"/>
        <v>30332952.93</v>
      </c>
      <c r="AE15" s="3"/>
    </row>
    <row r="16" spans="1:31" ht="21.75" customHeight="1">
      <c r="A16" s="2" t="s">
        <v>13</v>
      </c>
      <c r="B16" s="163">
        <v>500000</v>
      </c>
      <c r="C16" s="163"/>
      <c r="D16" s="163">
        <v>477703.5</v>
      </c>
      <c r="E16" s="163">
        <v>292032.44</v>
      </c>
      <c r="F16" s="164">
        <f t="shared" si="0"/>
        <v>1269735.94</v>
      </c>
      <c r="G16" s="163">
        <v>868783.92</v>
      </c>
      <c r="H16" s="163">
        <v>319301.95</v>
      </c>
      <c r="I16" s="164">
        <f t="shared" si="1"/>
        <v>1188085.87</v>
      </c>
      <c r="J16" s="163">
        <v>1744170.44</v>
      </c>
      <c r="K16" s="163">
        <v>2050159.13</v>
      </c>
      <c r="L16" s="165">
        <v>121836.27</v>
      </c>
      <c r="M16" s="118">
        <f t="shared" si="2"/>
        <v>3916165.84</v>
      </c>
      <c r="N16" s="166">
        <v>1435927.48</v>
      </c>
      <c r="O16" s="166">
        <v>0</v>
      </c>
      <c r="P16" s="39">
        <v>0</v>
      </c>
      <c r="Q16" s="39">
        <v>0</v>
      </c>
      <c r="R16" s="39">
        <v>0</v>
      </c>
      <c r="S16" s="39">
        <v>732760.73</v>
      </c>
      <c r="T16" s="119"/>
      <c r="U16" s="119"/>
      <c r="V16" s="119"/>
      <c r="W16" s="119"/>
      <c r="X16" s="39">
        <v>51107.01</v>
      </c>
      <c r="Y16" s="119">
        <v>2022760.36</v>
      </c>
      <c r="Z16" s="119"/>
      <c r="AA16" s="119"/>
      <c r="AB16" s="119"/>
      <c r="AC16" s="120">
        <f t="shared" si="3"/>
        <v>10616543.229999999</v>
      </c>
      <c r="AE16" s="3"/>
    </row>
    <row r="17" spans="1:31" ht="21.75" customHeight="1">
      <c r="A17" s="2" t="s">
        <v>14</v>
      </c>
      <c r="B17" s="163">
        <v>500000</v>
      </c>
      <c r="C17" s="163"/>
      <c r="D17" s="163">
        <v>499599.87</v>
      </c>
      <c r="E17" s="163">
        <v>282129.57</v>
      </c>
      <c r="F17" s="164">
        <f t="shared" si="0"/>
        <v>1281729.44</v>
      </c>
      <c r="G17" s="163">
        <v>1059916.39</v>
      </c>
      <c r="H17" s="163">
        <v>389548.37</v>
      </c>
      <c r="I17" s="164">
        <f t="shared" si="1"/>
        <v>1449464.7599999998</v>
      </c>
      <c r="J17" s="163">
        <v>1844437.24</v>
      </c>
      <c r="K17" s="163">
        <v>2168016.26</v>
      </c>
      <c r="L17" s="165">
        <v>128840.25</v>
      </c>
      <c r="M17" s="118">
        <f t="shared" si="2"/>
        <v>4141293.75</v>
      </c>
      <c r="N17" s="166">
        <v>1518474.38</v>
      </c>
      <c r="O17" s="166">
        <v>1132889.0300000003</v>
      </c>
      <c r="P17" s="39">
        <v>0</v>
      </c>
      <c r="Q17" s="39">
        <v>3631269.97</v>
      </c>
      <c r="R17" s="39">
        <v>0</v>
      </c>
      <c r="S17" s="39">
        <v>0</v>
      </c>
      <c r="T17" s="119"/>
      <c r="U17" s="119"/>
      <c r="V17" s="119"/>
      <c r="W17" s="119"/>
      <c r="X17" s="39">
        <v>9087886.5</v>
      </c>
      <c r="Y17" s="119">
        <v>5432204.4</v>
      </c>
      <c r="Z17" s="119"/>
      <c r="AA17" s="119"/>
      <c r="AB17" s="119"/>
      <c r="AC17" s="120">
        <f t="shared" si="3"/>
        <v>27675212.23</v>
      </c>
      <c r="AE17" s="3"/>
    </row>
    <row r="18" spans="1:31" ht="21.75" customHeight="1">
      <c r="A18" s="2" t="s">
        <v>56</v>
      </c>
      <c r="B18" s="163">
        <v>500000</v>
      </c>
      <c r="C18" s="163"/>
      <c r="D18" s="163"/>
      <c r="E18" s="163"/>
      <c r="F18" s="164">
        <f t="shared" si="0"/>
        <v>500000</v>
      </c>
      <c r="G18" s="163">
        <v>920910.96</v>
      </c>
      <c r="H18" s="163">
        <v>338460.06</v>
      </c>
      <c r="I18" s="164">
        <f t="shared" si="1"/>
        <v>1259371.02</v>
      </c>
      <c r="J18" s="163">
        <v>1771515.93</v>
      </c>
      <c r="K18" s="163">
        <v>2082301.98</v>
      </c>
      <c r="L18" s="165">
        <v>123746.45</v>
      </c>
      <c r="M18" s="118">
        <f t="shared" si="2"/>
        <v>3977564.3600000003</v>
      </c>
      <c r="N18" s="166">
        <v>1458440.27</v>
      </c>
      <c r="O18" s="166">
        <v>2669214.8800000004</v>
      </c>
      <c r="P18" s="39">
        <v>205185.11</v>
      </c>
      <c r="Q18" s="39">
        <v>540941.79</v>
      </c>
      <c r="R18" s="39">
        <v>205185.1</v>
      </c>
      <c r="S18" s="39">
        <v>0</v>
      </c>
      <c r="T18" s="119"/>
      <c r="U18" s="119"/>
      <c r="V18" s="119"/>
      <c r="W18" s="119"/>
      <c r="X18" s="39">
        <v>0</v>
      </c>
      <c r="Y18" s="119">
        <v>2888186.37</v>
      </c>
      <c r="Z18" s="119"/>
      <c r="AA18" s="119"/>
      <c r="AB18" s="119"/>
      <c r="AC18" s="120">
        <f t="shared" si="3"/>
        <v>13704088.9</v>
      </c>
      <c r="AE18" s="3"/>
    </row>
    <row r="19" spans="1:31" ht="21.75" customHeight="1">
      <c r="A19" s="2" t="s">
        <v>57</v>
      </c>
      <c r="B19" s="163">
        <v>500000</v>
      </c>
      <c r="C19" s="163"/>
      <c r="D19" s="163"/>
      <c r="E19" s="163">
        <v>130902.51</v>
      </c>
      <c r="F19" s="164">
        <f t="shared" si="0"/>
        <v>630902.51</v>
      </c>
      <c r="G19" s="163">
        <v>529958.19</v>
      </c>
      <c r="H19" s="163">
        <v>194774.19</v>
      </c>
      <c r="I19" s="164">
        <f t="shared" si="1"/>
        <v>724732.3799999999</v>
      </c>
      <c r="J19" s="163">
        <v>1566424.73</v>
      </c>
      <c r="K19" s="163">
        <v>1841230.59</v>
      </c>
      <c r="L19" s="165">
        <v>109420.13</v>
      </c>
      <c r="M19" s="118">
        <f t="shared" si="2"/>
        <v>3517075.45</v>
      </c>
      <c r="N19" s="166">
        <v>1289594.33</v>
      </c>
      <c r="O19" s="166">
        <v>945482.97</v>
      </c>
      <c r="P19" s="39">
        <v>1276641.31</v>
      </c>
      <c r="Q19" s="39">
        <v>962795.49</v>
      </c>
      <c r="R19" s="39">
        <v>1276641.31</v>
      </c>
      <c r="S19" s="39">
        <v>4246750.4</v>
      </c>
      <c r="T19" s="119"/>
      <c r="U19" s="119"/>
      <c r="V19" s="119"/>
      <c r="W19" s="119"/>
      <c r="X19" s="39">
        <v>1723500.2900000003</v>
      </c>
      <c r="Y19" s="119">
        <v>3946776.42</v>
      </c>
      <c r="Z19" s="119"/>
      <c r="AA19" s="119"/>
      <c r="AB19" s="119"/>
      <c r="AC19" s="120">
        <f t="shared" si="3"/>
        <v>20540892.860000003</v>
      </c>
      <c r="AE19" s="3"/>
    </row>
    <row r="20" spans="1:31" ht="21.75" customHeight="1">
      <c r="A20" s="2" t="s">
        <v>58</v>
      </c>
      <c r="B20" s="163">
        <v>500000</v>
      </c>
      <c r="C20" s="163">
        <v>500646.17</v>
      </c>
      <c r="D20" s="163"/>
      <c r="E20" s="163">
        <v>306249.34</v>
      </c>
      <c r="F20" s="164">
        <f t="shared" si="0"/>
        <v>1306895.51</v>
      </c>
      <c r="G20" s="163">
        <v>382264.93</v>
      </c>
      <c r="H20" s="163">
        <v>140492.86</v>
      </c>
      <c r="I20" s="164">
        <f t="shared" si="1"/>
        <v>522757.79</v>
      </c>
      <c r="J20" s="163">
        <v>1488945.83</v>
      </c>
      <c r="K20" s="163">
        <v>1750159.18</v>
      </c>
      <c r="L20" s="165">
        <v>104007.96</v>
      </c>
      <c r="M20" s="118">
        <f t="shared" si="2"/>
        <v>3343112.9699999997</v>
      </c>
      <c r="N20" s="166">
        <v>1225808.09</v>
      </c>
      <c r="O20" s="166">
        <v>0</v>
      </c>
      <c r="P20" s="39">
        <v>0</v>
      </c>
      <c r="Q20" s="39">
        <v>0</v>
      </c>
      <c r="R20" s="39">
        <v>0</v>
      </c>
      <c r="S20" s="39">
        <v>0</v>
      </c>
      <c r="T20" s="119"/>
      <c r="U20" s="119"/>
      <c r="V20" s="119"/>
      <c r="W20" s="119"/>
      <c r="X20" s="39">
        <v>0</v>
      </c>
      <c r="Y20" s="119">
        <v>4108659.1299999994</v>
      </c>
      <c r="Z20" s="119"/>
      <c r="AA20" s="119"/>
      <c r="AB20" s="119"/>
      <c r="AC20" s="120">
        <f t="shared" si="3"/>
        <v>10507233.489999998</v>
      </c>
      <c r="AE20" s="3"/>
    </row>
    <row r="21" spans="1:31" ht="21.75" customHeight="1">
      <c r="A21" s="2" t="s">
        <v>15</v>
      </c>
      <c r="B21" s="163">
        <v>500000</v>
      </c>
      <c r="C21" s="163">
        <v>1260184.93</v>
      </c>
      <c r="D21" s="163"/>
      <c r="E21" s="163">
        <v>474606.5</v>
      </c>
      <c r="F21" s="164">
        <f t="shared" si="0"/>
        <v>2234791.4299999997</v>
      </c>
      <c r="G21" s="163">
        <v>1112043.42</v>
      </c>
      <c r="H21" s="163">
        <v>408706.49</v>
      </c>
      <c r="I21" s="164">
        <f t="shared" si="1"/>
        <v>1520749.91</v>
      </c>
      <c r="J21" s="163">
        <v>1871782.74</v>
      </c>
      <c r="K21" s="163">
        <v>2200159.11</v>
      </c>
      <c r="L21" s="165">
        <v>130750.43</v>
      </c>
      <c r="M21" s="118">
        <f t="shared" si="2"/>
        <v>4202692.279999999</v>
      </c>
      <c r="N21" s="166">
        <v>1540987.17</v>
      </c>
      <c r="O21" s="166">
        <v>0</v>
      </c>
      <c r="P21" s="39">
        <v>0</v>
      </c>
      <c r="Q21" s="39">
        <v>0</v>
      </c>
      <c r="R21" s="39">
        <v>0</v>
      </c>
      <c r="S21" s="39">
        <v>0</v>
      </c>
      <c r="T21" s="119"/>
      <c r="U21" s="119"/>
      <c r="V21" s="119"/>
      <c r="W21" s="119"/>
      <c r="X21" s="39">
        <v>0</v>
      </c>
      <c r="Y21" s="119">
        <v>518334.67</v>
      </c>
      <c r="Z21" s="119"/>
      <c r="AA21" s="119"/>
      <c r="AB21" s="119"/>
      <c r="AC21" s="120">
        <f t="shared" si="3"/>
        <v>10017555.459999999</v>
      </c>
      <c r="AE21" s="3"/>
    </row>
    <row r="22" spans="1:31" ht="21.75" customHeight="1">
      <c r="A22" s="2" t="s">
        <v>16</v>
      </c>
      <c r="B22" s="163">
        <v>500000</v>
      </c>
      <c r="C22" s="163"/>
      <c r="D22" s="163"/>
      <c r="E22" s="163"/>
      <c r="F22" s="164">
        <f t="shared" si="0"/>
        <v>500000</v>
      </c>
      <c r="G22" s="163">
        <v>1138106.94</v>
      </c>
      <c r="H22" s="163">
        <v>418285.55</v>
      </c>
      <c r="I22" s="164">
        <f t="shared" si="1"/>
        <v>1556392.49</v>
      </c>
      <c r="J22" s="163">
        <v>1885455.48</v>
      </c>
      <c r="K22" s="163">
        <v>2216230.53</v>
      </c>
      <c r="L22" s="165">
        <v>131705.53</v>
      </c>
      <c r="M22" s="118">
        <f t="shared" si="2"/>
        <v>4233391.54</v>
      </c>
      <c r="N22" s="166">
        <v>1552243.56</v>
      </c>
      <c r="O22" s="166">
        <v>65027.31</v>
      </c>
      <c r="P22" s="39">
        <v>0</v>
      </c>
      <c r="Q22" s="39">
        <v>0</v>
      </c>
      <c r="R22" s="39">
        <v>0</v>
      </c>
      <c r="S22" s="39">
        <v>588197.62</v>
      </c>
      <c r="T22" s="119"/>
      <c r="U22" s="119"/>
      <c r="V22" s="119"/>
      <c r="W22" s="119"/>
      <c r="X22" s="39">
        <v>0</v>
      </c>
      <c r="Y22" s="119">
        <v>3224809.95</v>
      </c>
      <c r="Z22" s="119"/>
      <c r="AA22" s="119"/>
      <c r="AB22" s="119"/>
      <c r="AC22" s="120">
        <f t="shared" si="3"/>
        <v>11720062.47</v>
      </c>
      <c r="AE22" s="3"/>
    </row>
    <row r="23" spans="1:31" ht="21.75" customHeight="1">
      <c r="A23" s="2" t="s">
        <v>17</v>
      </c>
      <c r="B23" s="163">
        <v>500000</v>
      </c>
      <c r="C23" s="163">
        <v>548730.49</v>
      </c>
      <c r="D23" s="163">
        <v>484293.1</v>
      </c>
      <c r="E23" s="163"/>
      <c r="F23" s="164">
        <f t="shared" si="0"/>
        <v>1533023.5899999999</v>
      </c>
      <c r="G23" s="163">
        <v>1433493.47</v>
      </c>
      <c r="H23" s="163">
        <v>526848.21</v>
      </c>
      <c r="I23" s="164">
        <f t="shared" si="1"/>
        <v>1960341.68</v>
      </c>
      <c r="J23" s="163">
        <v>2040413.28</v>
      </c>
      <c r="K23" s="163">
        <v>2398373.36</v>
      </c>
      <c r="L23" s="165">
        <v>142529.85</v>
      </c>
      <c r="M23" s="118">
        <f t="shared" si="2"/>
        <v>4581316.489999999</v>
      </c>
      <c r="N23" s="166">
        <v>1679816.05</v>
      </c>
      <c r="O23" s="166">
        <v>1055574.88</v>
      </c>
      <c r="P23" s="39">
        <v>1055574.88</v>
      </c>
      <c r="Q23" s="39">
        <v>3480838.1500000004</v>
      </c>
      <c r="R23" s="39">
        <v>1055574.87</v>
      </c>
      <c r="S23" s="39">
        <v>617611.75</v>
      </c>
      <c r="T23" s="119"/>
      <c r="U23" s="119"/>
      <c r="V23" s="119"/>
      <c r="W23" s="119"/>
      <c r="X23" s="39">
        <v>1134344.3199999998</v>
      </c>
      <c r="Y23" s="119">
        <v>6673928.54</v>
      </c>
      <c r="Z23" s="119"/>
      <c r="AA23" s="119"/>
      <c r="AB23" s="119"/>
      <c r="AC23" s="120">
        <f t="shared" si="3"/>
        <v>24827945.2</v>
      </c>
      <c r="AE23" s="3"/>
    </row>
    <row r="24" spans="1:31" ht="21.75" customHeight="1">
      <c r="A24" s="2" t="s">
        <v>18</v>
      </c>
      <c r="B24" s="163">
        <v>500000</v>
      </c>
      <c r="C24" s="163"/>
      <c r="D24" s="163">
        <v>121070.31</v>
      </c>
      <c r="E24" s="163">
        <v>171914.51</v>
      </c>
      <c r="F24" s="164">
        <f t="shared" si="0"/>
        <v>792984.8200000001</v>
      </c>
      <c r="G24" s="163">
        <v>755842.01</v>
      </c>
      <c r="H24" s="163">
        <v>277792.69</v>
      </c>
      <c r="I24" s="164">
        <f t="shared" si="1"/>
        <v>1033634.7</v>
      </c>
      <c r="J24" s="163">
        <v>1684921.87</v>
      </c>
      <c r="K24" s="163">
        <v>1980516.28</v>
      </c>
      <c r="L24" s="165">
        <v>117697.56</v>
      </c>
      <c r="M24" s="118">
        <f t="shared" si="2"/>
        <v>3783135.7100000004</v>
      </c>
      <c r="N24" s="166">
        <v>1387149.76</v>
      </c>
      <c r="O24" s="166">
        <v>474236.87</v>
      </c>
      <c r="P24" s="39">
        <v>637361.64</v>
      </c>
      <c r="Q24" s="39">
        <v>163124.77</v>
      </c>
      <c r="R24" s="39">
        <v>637361.61</v>
      </c>
      <c r="S24" s="39">
        <v>2989436.12</v>
      </c>
      <c r="T24" s="119"/>
      <c r="U24" s="119"/>
      <c r="V24" s="119"/>
      <c r="W24" s="119"/>
      <c r="X24" s="39">
        <v>138833.95</v>
      </c>
      <c r="Y24" s="119">
        <v>2426228.56</v>
      </c>
      <c r="Z24" s="119"/>
      <c r="AA24" s="119"/>
      <c r="AB24" s="119"/>
      <c r="AC24" s="120">
        <f t="shared" si="3"/>
        <v>14463488.51</v>
      </c>
      <c r="AE24" s="3"/>
    </row>
    <row r="25" spans="1:31" ht="21.75" customHeight="1">
      <c r="A25" s="2" t="s">
        <v>19</v>
      </c>
      <c r="B25" s="163">
        <v>500000</v>
      </c>
      <c r="C25" s="163"/>
      <c r="D25" s="163"/>
      <c r="E25" s="163"/>
      <c r="F25" s="164">
        <f t="shared" si="0"/>
        <v>500000</v>
      </c>
      <c r="G25" s="163">
        <v>356201.41</v>
      </c>
      <c r="H25" s="163">
        <v>130913.8</v>
      </c>
      <c r="I25" s="164">
        <f t="shared" si="1"/>
        <v>487115.20999999996</v>
      </c>
      <c r="J25" s="163">
        <v>1475273.09</v>
      </c>
      <c r="K25" s="163">
        <v>1734087.75</v>
      </c>
      <c r="L25" s="165">
        <v>103052.87</v>
      </c>
      <c r="M25" s="118">
        <f t="shared" si="2"/>
        <v>3312413.71</v>
      </c>
      <c r="N25" s="166">
        <v>1214551.69</v>
      </c>
      <c r="O25" s="166">
        <v>0</v>
      </c>
      <c r="P25" s="39">
        <v>0</v>
      </c>
      <c r="Q25" s="39">
        <v>0</v>
      </c>
      <c r="R25" s="39">
        <v>0</v>
      </c>
      <c r="S25" s="39">
        <v>0</v>
      </c>
      <c r="T25" s="119"/>
      <c r="U25" s="119"/>
      <c r="V25" s="119"/>
      <c r="W25" s="119"/>
      <c r="X25" s="39">
        <v>355288.36</v>
      </c>
      <c r="Y25" s="119">
        <v>630737.84</v>
      </c>
      <c r="Z25" s="119"/>
      <c r="AA25" s="119"/>
      <c r="AB25" s="119"/>
      <c r="AC25" s="120">
        <f t="shared" si="3"/>
        <v>6500106.81</v>
      </c>
      <c r="AE25" s="3"/>
    </row>
    <row r="26" spans="1:31" ht="21.75" customHeight="1">
      <c r="A26" s="2" t="s">
        <v>20</v>
      </c>
      <c r="B26" s="163">
        <v>500000</v>
      </c>
      <c r="C26" s="163"/>
      <c r="D26" s="163"/>
      <c r="E26" s="163"/>
      <c r="F26" s="164">
        <f t="shared" si="0"/>
        <v>500000</v>
      </c>
      <c r="G26" s="163">
        <v>90444.61</v>
      </c>
      <c r="H26" s="163">
        <v>33240.88</v>
      </c>
      <c r="I26" s="164">
        <f t="shared" si="1"/>
        <v>123685.48999999999</v>
      </c>
      <c r="J26" s="163">
        <v>1297527.38</v>
      </c>
      <c r="K26" s="163">
        <v>1525159.21</v>
      </c>
      <c r="L26" s="165">
        <v>90636.73</v>
      </c>
      <c r="M26" s="118">
        <f t="shared" si="2"/>
        <v>2913323.32</v>
      </c>
      <c r="N26" s="166">
        <v>1068218.55</v>
      </c>
      <c r="O26" s="166">
        <v>0</v>
      </c>
      <c r="P26" s="39">
        <v>0</v>
      </c>
      <c r="Q26" s="39">
        <v>0</v>
      </c>
      <c r="R26" s="39">
        <v>0</v>
      </c>
      <c r="S26" s="39">
        <v>0</v>
      </c>
      <c r="T26" s="119"/>
      <c r="U26" s="119"/>
      <c r="V26" s="119"/>
      <c r="W26" s="119"/>
      <c r="X26" s="39">
        <v>0</v>
      </c>
      <c r="Y26" s="119">
        <v>0</v>
      </c>
      <c r="Z26" s="119"/>
      <c r="AA26" s="119"/>
      <c r="AB26" s="119"/>
      <c r="AC26" s="120">
        <f t="shared" si="3"/>
        <v>4605227.36</v>
      </c>
      <c r="AE26" s="3"/>
    </row>
    <row r="27" spans="1:31" ht="21.75" customHeight="1">
      <c r="A27" s="2" t="s">
        <v>21</v>
      </c>
      <c r="B27" s="163">
        <v>500000</v>
      </c>
      <c r="C27" s="163"/>
      <c r="D27" s="163">
        <v>637802.04</v>
      </c>
      <c r="E27" s="163">
        <v>652794.07</v>
      </c>
      <c r="F27" s="164">
        <f t="shared" si="0"/>
        <v>1790596.1099999999</v>
      </c>
      <c r="G27" s="163">
        <v>773217.69</v>
      </c>
      <c r="H27" s="163">
        <v>284178.73</v>
      </c>
      <c r="I27" s="164">
        <f t="shared" si="1"/>
        <v>1057396.42</v>
      </c>
      <c r="J27" s="163">
        <v>1694037.03</v>
      </c>
      <c r="K27" s="163">
        <v>1991230.57</v>
      </c>
      <c r="L27" s="165">
        <v>118334.28</v>
      </c>
      <c r="M27" s="118">
        <f t="shared" si="2"/>
        <v>3803601.88</v>
      </c>
      <c r="N27" s="166">
        <v>1394654.02</v>
      </c>
      <c r="O27" s="166">
        <v>2232199.08</v>
      </c>
      <c r="P27" s="39">
        <v>977457.12</v>
      </c>
      <c r="Q27" s="39">
        <v>415332.09</v>
      </c>
      <c r="R27" s="39">
        <v>977457.11</v>
      </c>
      <c r="S27" s="39">
        <v>414577.33</v>
      </c>
      <c r="T27" s="119"/>
      <c r="U27" s="119"/>
      <c r="V27" s="119"/>
      <c r="W27" s="119"/>
      <c r="X27" s="39">
        <v>2897781.83</v>
      </c>
      <c r="Y27" s="119">
        <v>1274425.8</v>
      </c>
      <c r="Z27" s="119"/>
      <c r="AA27" s="119"/>
      <c r="AB27" s="119"/>
      <c r="AC27" s="120">
        <f t="shared" si="3"/>
        <v>17235478.790000003</v>
      </c>
      <c r="AE27" s="3"/>
    </row>
    <row r="28" spans="1:31" ht="21.75" customHeight="1">
      <c r="A28" s="2" t="s">
        <v>22</v>
      </c>
      <c r="B28" s="163">
        <v>500000</v>
      </c>
      <c r="C28" s="163">
        <v>275724.11</v>
      </c>
      <c r="D28" s="163">
        <v>334358.57</v>
      </c>
      <c r="E28" s="163"/>
      <c r="F28" s="164">
        <f t="shared" si="0"/>
        <v>1110082.68</v>
      </c>
      <c r="G28" s="163">
        <v>573397.39</v>
      </c>
      <c r="H28" s="163">
        <v>210739.28</v>
      </c>
      <c r="I28" s="164">
        <f t="shared" si="1"/>
        <v>784136.67</v>
      </c>
      <c r="J28" s="163">
        <v>1589212.64</v>
      </c>
      <c r="K28" s="163">
        <v>1868016.3</v>
      </c>
      <c r="L28" s="165">
        <v>111011.94</v>
      </c>
      <c r="M28" s="118">
        <f t="shared" si="2"/>
        <v>3568240.88</v>
      </c>
      <c r="N28" s="166">
        <v>1308354.99</v>
      </c>
      <c r="O28" s="166">
        <v>505528.84</v>
      </c>
      <c r="P28" s="39">
        <v>915594.19</v>
      </c>
      <c r="Q28" s="39">
        <v>373515.4</v>
      </c>
      <c r="R28" s="39">
        <v>879044.24</v>
      </c>
      <c r="S28" s="39">
        <v>1952811.75</v>
      </c>
      <c r="T28" s="119"/>
      <c r="U28" s="119"/>
      <c r="V28" s="119"/>
      <c r="W28" s="119"/>
      <c r="X28" s="39">
        <v>1980038.42</v>
      </c>
      <c r="Y28" s="119">
        <v>1265848.9100000001</v>
      </c>
      <c r="Z28" s="119"/>
      <c r="AA28" s="119"/>
      <c r="AB28" s="119"/>
      <c r="AC28" s="120">
        <f t="shared" si="3"/>
        <v>14643196.97</v>
      </c>
      <c r="AE28" s="3"/>
    </row>
    <row r="29" spans="1:31" ht="21.75" customHeight="1">
      <c r="A29" s="2" t="s">
        <v>23</v>
      </c>
      <c r="B29" s="163">
        <v>500000</v>
      </c>
      <c r="C29" s="163"/>
      <c r="D29" s="163"/>
      <c r="E29" s="163"/>
      <c r="F29" s="164">
        <f t="shared" si="0"/>
        <v>500000</v>
      </c>
      <c r="G29" s="163">
        <v>3275315.39</v>
      </c>
      <c r="H29" s="163">
        <v>1203768.34</v>
      </c>
      <c r="I29" s="164">
        <f t="shared" si="1"/>
        <v>4479083.73</v>
      </c>
      <c r="J29" s="163">
        <v>3006620.71</v>
      </c>
      <c r="K29" s="163">
        <v>3534087.48</v>
      </c>
      <c r="L29" s="165">
        <v>210022.74</v>
      </c>
      <c r="M29" s="118">
        <f t="shared" si="2"/>
        <v>6750730.93</v>
      </c>
      <c r="N29" s="166">
        <v>2475268.01</v>
      </c>
      <c r="O29" s="166">
        <v>0</v>
      </c>
      <c r="P29" s="39">
        <v>0</v>
      </c>
      <c r="Q29" s="39">
        <v>0</v>
      </c>
      <c r="R29" s="39">
        <v>0</v>
      </c>
      <c r="S29" s="39">
        <v>3238066.1100000003</v>
      </c>
      <c r="T29" s="119"/>
      <c r="U29" s="119"/>
      <c r="V29" s="119"/>
      <c r="W29" s="119"/>
      <c r="X29" s="39">
        <v>2930701.5300000003</v>
      </c>
      <c r="Y29" s="119">
        <v>3995468.0199999996</v>
      </c>
      <c r="Z29" s="119"/>
      <c r="AA29" s="119"/>
      <c r="AB29" s="119"/>
      <c r="AC29" s="120">
        <f t="shared" si="3"/>
        <v>24369318.330000002</v>
      </c>
      <c r="AE29" s="3"/>
    </row>
    <row r="30" spans="1:31" ht="21.75" customHeight="1">
      <c r="A30" s="2" t="s">
        <v>24</v>
      </c>
      <c r="B30" s="163">
        <v>500000</v>
      </c>
      <c r="C30" s="163"/>
      <c r="D30" s="163"/>
      <c r="E30" s="163"/>
      <c r="F30" s="164">
        <f t="shared" si="0"/>
        <v>500000</v>
      </c>
      <c r="G30" s="163">
        <v>755842.01</v>
      </c>
      <c r="H30" s="163">
        <v>277792.69</v>
      </c>
      <c r="I30" s="164">
        <f t="shared" si="1"/>
        <v>1033634.7</v>
      </c>
      <c r="J30" s="163">
        <v>1684921.87</v>
      </c>
      <c r="K30" s="163">
        <v>1980516.28</v>
      </c>
      <c r="L30" s="165">
        <v>117697.56</v>
      </c>
      <c r="M30" s="118">
        <f t="shared" si="2"/>
        <v>3783135.7100000004</v>
      </c>
      <c r="N30" s="166">
        <v>1387149.76</v>
      </c>
      <c r="O30" s="166">
        <v>0</v>
      </c>
      <c r="P30" s="39">
        <v>0</v>
      </c>
      <c r="Q30" s="39">
        <v>0</v>
      </c>
      <c r="R30" s="39">
        <v>0</v>
      </c>
      <c r="S30" s="39">
        <v>0</v>
      </c>
      <c r="T30" s="119"/>
      <c r="U30" s="119"/>
      <c r="V30" s="119"/>
      <c r="W30" s="119"/>
      <c r="X30" s="39">
        <v>0</v>
      </c>
      <c r="Y30" s="119">
        <v>0</v>
      </c>
      <c r="Z30" s="119"/>
      <c r="AA30" s="119"/>
      <c r="AB30" s="119"/>
      <c r="AC30" s="120">
        <f t="shared" si="3"/>
        <v>6703920.170000001</v>
      </c>
      <c r="AE30" s="3"/>
    </row>
    <row r="31" spans="1:31" ht="21.75" customHeight="1">
      <c r="A31" s="2" t="s">
        <v>25</v>
      </c>
      <c r="B31" s="163">
        <v>500000</v>
      </c>
      <c r="C31" s="163"/>
      <c r="D31" s="163">
        <v>384258.4</v>
      </c>
      <c r="E31" s="163">
        <v>33033.5</v>
      </c>
      <c r="F31" s="164">
        <f t="shared" si="0"/>
        <v>917291.9</v>
      </c>
      <c r="G31" s="163">
        <v>1520371.86</v>
      </c>
      <c r="H31" s="163">
        <v>558778.41</v>
      </c>
      <c r="I31" s="164">
        <f t="shared" si="1"/>
        <v>2079150.27</v>
      </c>
      <c r="J31" s="163">
        <v>2085989.1</v>
      </c>
      <c r="K31" s="163">
        <v>2451944.78</v>
      </c>
      <c r="L31" s="165">
        <v>145713.48</v>
      </c>
      <c r="M31" s="118">
        <f t="shared" si="2"/>
        <v>4683647.36</v>
      </c>
      <c r="N31" s="166">
        <v>1717337.37</v>
      </c>
      <c r="O31" s="166">
        <v>2540937.0799999996</v>
      </c>
      <c r="P31" s="39">
        <v>4418335.68</v>
      </c>
      <c r="Q31" s="39">
        <v>1877398.6</v>
      </c>
      <c r="R31" s="39">
        <v>4418335.68</v>
      </c>
      <c r="S31" s="39">
        <v>1642416.29</v>
      </c>
      <c r="T31" s="119"/>
      <c r="U31" s="119"/>
      <c r="V31" s="119"/>
      <c r="W31" s="119"/>
      <c r="X31" s="39">
        <v>10778249.079999998</v>
      </c>
      <c r="Y31" s="119">
        <v>11441530.359999998</v>
      </c>
      <c r="Z31" s="119"/>
      <c r="AA31" s="119"/>
      <c r="AB31" s="119"/>
      <c r="AC31" s="120">
        <f t="shared" si="3"/>
        <v>46514629.669999994</v>
      </c>
      <c r="AE31" s="3"/>
    </row>
    <row r="32" spans="1:31" ht="21.75" customHeight="1">
      <c r="A32" s="2" t="s">
        <v>26</v>
      </c>
      <c r="B32" s="163">
        <v>500000</v>
      </c>
      <c r="C32" s="163"/>
      <c r="D32" s="163">
        <v>342944.38</v>
      </c>
      <c r="E32" s="163"/>
      <c r="F32" s="164">
        <f t="shared" si="0"/>
        <v>842944.38</v>
      </c>
      <c r="G32" s="163">
        <v>3118934.28</v>
      </c>
      <c r="H32" s="163">
        <v>1146293.99</v>
      </c>
      <c r="I32" s="164">
        <f t="shared" si="1"/>
        <v>4265228.27</v>
      </c>
      <c r="J32" s="163">
        <v>2924584.23</v>
      </c>
      <c r="K32" s="163">
        <v>3437658.92</v>
      </c>
      <c r="L32" s="165">
        <v>204292.22</v>
      </c>
      <c r="M32" s="118">
        <f t="shared" si="2"/>
        <v>6566535.37</v>
      </c>
      <c r="N32" s="166">
        <v>2407729.64</v>
      </c>
      <c r="O32" s="166">
        <v>0</v>
      </c>
      <c r="P32" s="39">
        <v>0</v>
      </c>
      <c r="Q32" s="39">
        <v>0</v>
      </c>
      <c r="R32" s="39">
        <v>0</v>
      </c>
      <c r="S32" s="39">
        <v>7319235.31</v>
      </c>
      <c r="T32" s="119"/>
      <c r="U32" s="119"/>
      <c r="V32" s="119"/>
      <c r="W32" s="119"/>
      <c r="X32" s="39">
        <v>4766956.74</v>
      </c>
      <c r="Y32" s="119">
        <v>1862037.4699999997</v>
      </c>
      <c r="Z32" s="119"/>
      <c r="AA32" s="119"/>
      <c r="AB32" s="119"/>
      <c r="AC32" s="120">
        <f t="shared" si="3"/>
        <v>28030667.18</v>
      </c>
      <c r="AE32" s="3"/>
    </row>
    <row r="33" spans="1:31" ht="21.75" customHeight="1">
      <c r="A33" s="2" t="s">
        <v>27</v>
      </c>
      <c r="B33" s="163">
        <v>500000</v>
      </c>
      <c r="C33" s="163">
        <v>470355.55</v>
      </c>
      <c r="D33" s="163"/>
      <c r="E33" s="163"/>
      <c r="F33" s="164">
        <f t="shared" si="0"/>
        <v>970355.55</v>
      </c>
      <c r="G33" s="163">
        <v>816656.89</v>
      </c>
      <c r="H33" s="163">
        <v>300143.83</v>
      </c>
      <c r="I33" s="164">
        <f t="shared" si="1"/>
        <v>1116800.72</v>
      </c>
      <c r="J33" s="163">
        <v>1716824.94</v>
      </c>
      <c r="K33" s="163">
        <v>2018016.28</v>
      </c>
      <c r="L33" s="165">
        <v>119926.1</v>
      </c>
      <c r="M33" s="118">
        <f t="shared" si="2"/>
        <v>3854767.32</v>
      </c>
      <c r="N33" s="166">
        <v>1413414.68</v>
      </c>
      <c r="O33" s="166">
        <v>0</v>
      </c>
      <c r="P33" s="39">
        <v>0</v>
      </c>
      <c r="Q33" s="39">
        <v>0</v>
      </c>
      <c r="R33" s="39">
        <v>0</v>
      </c>
      <c r="S33" s="39">
        <v>0</v>
      </c>
      <c r="T33" s="119"/>
      <c r="U33" s="119"/>
      <c r="V33" s="119"/>
      <c r="W33" s="119"/>
      <c r="X33" s="39">
        <v>0</v>
      </c>
      <c r="Y33" s="119">
        <v>0</v>
      </c>
      <c r="Z33" s="119"/>
      <c r="AA33" s="119"/>
      <c r="AB33" s="119"/>
      <c r="AC33" s="120">
        <f t="shared" si="3"/>
        <v>7355338.27</v>
      </c>
      <c r="AE33" s="3"/>
    </row>
    <row r="34" spans="1:31" ht="21.75" customHeight="1">
      <c r="A34" s="2" t="s">
        <v>28</v>
      </c>
      <c r="B34" s="163">
        <v>500000</v>
      </c>
      <c r="C34" s="163">
        <v>432888.58</v>
      </c>
      <c r="D34" s="163">
        <v>441626.19</v>
      </c>
      <c r="E34" s="163">
        <v>292306.51</v>
      </c>
      <c r="F34" s="164">
        <f t="shared" si="0"/>
        <v>1666821.28</v>
      </c>
      <c r="G34" s="163">
        <v>2449970.66</v>
      </c>
      <c r="H34" s="163">
        <v>900431.49</v>
      </c>
      <c r="I34" s="164">
        <f t="shared" si="1"/>
        <v>3350402.1500000004</v>
      </c>
      <c r="J34" s="163">
        <v>2573650.4</v>
      </c>
      <c r="K34" s="163">
        <v>3025158.98</v>
      </c>
      <c r="L34" s="165">
        <v>179778.29</v>
      </c>
      <c r="M34" s="118">
        <f t="shared" si="2"/>
        <v>5778587.67</v>
      </c>
      <c r="N34" s="166">
        <v>2118815.48</v>
      </c>
      <c r="O34" s="166">
        <v>2028059.7000000002</v>
      </c>
      <c r="P34" s="39">
        <v>2125877.6799999997</v>
      </c>
      <c r="Q34" s="39">
        <v>499415.09</v>
      </c>
      <c r="R34" s="39">
        <v>2125877.6799999997</v>
      </c>
      <c r="S34" s="39">
        <v>0</v>
      </c>
      <c r="T34" s="119"/>
      <c r="U34" s="119"/>
      <c r="V34" s="119"/>
      <c r="W34" s="119"/>
      <c r="X34" s="39">
        <v>4674035.7299999995</v>
      </c>
      <c r="Y34" s="119">
        <v>5661697.94</v>
      </c>
      <c r="Z34" s="119"/>
      <c r="AA34" s="119"/>
      <c r="AB34" s="119"/>
      <c r="AC34" s="120">
        <f t="shared" si="3"/>
        <v>30029590.4</v>
      </c>
      <c r="AE34" s="3"/>
    </row>
    <row r="35" spans="1:31" ht="21.75" customHeight="1">
      <c r="A35" s="2" t="s">
        <v>29</v>
      </c>
      <c r="B35" s="163">
        <v>500000</v>
      </c>
      <c r="C35" s="163">
        <v>757174.46</v>
      </c>
      <c r="D35" s="163">
        <v>1042908.5</v>
      </c>
      <c r="E35" s="163">
        <v>1160701</v>
      </c>
      <c r="F35" s="164">
        <f t="shared" si="0"/>
        <v>3460783.96</v>
      </c>
      <c r="G35" s="163">
        <v>3874776.3</v>
      </c>
      <c r="H35" s="163">
        <v>1424086.68</v>
      </c>
      <c r="I35" s="164">
        <f t="shared" si="1"/>
        <v>5298862.9799999995</v>
      </c>
      <c r="J35" s="163">
        <v>3321093.88</v>
      </c>
      <c r="K35" s="163">
        <v>3903730.28</v>
      </c>
      <c r="L35" s="165">
        <v>231989.78</v>
      </c>
      <c r="M35" s="118">
        <f t="shared" si="2"/>
        <v>7456813.94</v>
      </c>
      <c r="N35" s="166">
        <v>2734165.11</v>
      </c>
      <c r="O35" s="166">
        <v>11651769.629999999</v>
      </c>
      <c r="P35" s="39">
        <v>3605132.98</v>
      </c>
      <c r="Q35" s="39">
        <v>1531859.98</v>
      </c>
      <c r="R35" s="39">
        <v>3605132.97</v>
      </c>
      <c r="S35" s="39">
        <v>704603.61</v>
      </c>
      <c r="T35" s="119"/>
      <c r="U35" s="119"/>
      <c r="V35" s="119"/>
      <c r="W35" s="119"/>
      <c r="X35" s="39">
        <v>3128241.6399999997</v>
      </c>
      <c r="Y35" s="119">
        <v>12316929.46</v>
      </c>
      <c r="Z35" s="119"/>
      <c r="AA35" s="119"/>
      <c r="AB35" s="119"/>
      <c r="AC35" s="120">
        <f t="shared" si="3"/>
        <v>55494296.25999999</v>
      </c>
      <c r="AE35" s="3"/>
    </row>
    <row r="36" spans="1:31" ht="21.75" customHeight="1">
      <c r="A36" s="2" t="s">
        <v>30</v>
      </c>
      <c r="B36" s="163">
        <v>500000</v>
      </c>
      <c r="C36" s="163"/>
      <c r="D36" s="163">
        <v>399490.33</v>
      </c>
      <c r="E36" s="163">
        <v>333579.93</v>
      </c>
      <c r="F36" s="164">
        <f t="shared" si="0"/>
        <v>1233070.26</v>
      </c>
      <c r="G36" s="163">
        <v>434391.96</v>
      </c>
      <c r="H36" s="163">
        <v>159650.97</v>
      </c>
      <c r="I36" s="164">
        <f t="shared" si="1"/>
        <v>594042.93</v>
      </c>
      <c r="J36" s="163">
        <v>1516291.33</v>
      </c>
      <c r="K36" s="163">
        <v>1782302.03</v>
      </c>
      <c r="L36" s="165">
        <v>105918.13</v>
      </c>
      <c r="M36" s="118">
        <f t="shared" si="2"/>
        <v>3404511.49</v>
      </c>
      <c r="N36" s="166">
        <v>1248320.88</v>
      </c>
      <c r="O36" s="166">
        <v>0</v>
      </c>
      <c r="P36" s="39">
        <v>0</v>
      </c>
      <c r="Q36" s="39">
        <v>0</v>
      </c>
      <c r="R36" s="39">
        <v>0</v>
      </c>
      <c r="S36" s="39">
        <v>0</v>
      </c>
      <c r="T36" s="119"/>
      <c r="U36" s="119"/>
      <c r="V36" s="119"/>
      <c r="W36" s="119"/>
      <c r="X36" s="39">
        <v>0</v>
      </c>
      <c r="Y36" s="119">
        <v>2267434.35</v>
      </c>
      <c r="Z36" s="119"/>
      <c r="AA36" s="119"/>
      <c r="AB36" s="119"/>
      <c r="AC36" s="120">
        <f t="shared" si="3"/>
        <v>8747379.91</v>
      </c>
      <c r="AE36" s="3"/>
    </row>
    <row r="37" spans="1:31" ht="21.75" customHeight="1">
      <c r="A37" s="2" t="s">
        <v>31</v>
      </c>
      <c r="B37" s="163">
        <v>500000</v>
      </c>
      <c r="C37" s="163">
        <v>824545.48</v>
      </c>
      <c r="D37" s="163">
        <v>1986478.28</v>
      </c>
      <c r="E37" s="163">
        <v>1394480.98</v>
      </c>
      <c r="F37" s="164">
        <f aca="true" t="shared" si="4" ref="F37:F61">SUM(B37:E37)</f>
        <v>4705504.74</v>
      </c>
      <c r="G37" s="163">
        <v>2606351.77</v>
      </c>
      <c r="H37" s="163">
        <v>957905.84</v>
      </c>
      <c r="I37" s="164">
        <f t="shared" si="1"/>
        <v>3564257.61</v>
      </c>
      <c r="J37" s="163">
        <v>2655686.88</v>
      </c>
      <c r="K37" s="163">
        <v>3121587.54</v>
      </c>
      <c r="L37" s="165">
        <v>185508.82</v>
      </c>
      <c r="M37" s="118">
        <f t="shared" si="2"/>
        <v>5962783.24</v>
      </c>
      <c r="N37" s="166">
        <v>2186353.85</v>
      </c>
      <c r="O37" s="166">
        <v>0</v>
      </c>
      <c r="P37" s="39">
        <v>0</v>
      </c>
      <c r="Q37" s="39">
        <v>0</v>
      </c>
      <c r="R37" s="39">
        <v>0</v>
      </c>
      <c r="S37" s="39">
        <v>0</v>
      </c>
      <c r="T37" s="119"/>
      <c r="U37" s="119"/>
      <c r="V37" s="119"/>
      <c r="W37" s="119"/>
      <c r="X37" s="39">
        <v>0</v>
      </c>
      <c r="Y37" s="119">
        <v>5525151.18</v>
      </c>
      <c r="Z37" s="119"/>
      <c r="AA37" s="119"/>
      <c r="AB37" s="119"/>
      <c r="AC37" s="120">
        <f t="shared" si="3"/>
        <v>21944050.619999997</v>
      </c>
      <c r="AE37" s="3"/>
    </row>
    <row r="38" spans="1:31" ht="21.75" customHeight="1">
      <c r="A38" s="2" t="s">
        <v>32</v>
      </c>
      <c r="B38" s="163">
        <v>500000</v>
      </c>
      <c r="C38" s="163">
        <v>1187550.39</v>
      </c>
      <c r="D38" s="163">
        <v>484309.49</v>
      </c>
      <c r="E38" s="163">
        <v>477374.37</v>
      </c>
      <c r="F38" s="164">
        <f t="shared" si="4"/>
        <v>2649234.25</v>
      </c>
      <c r="G38" s="163">
        <v>1233673.17</v>
      </c>
      <c r="H38" s="163">
        <v>453408.76</v>
      </c>
      <c r="I38" s="164">
        <f aca="true" t="shared" si="5" ref="I38:I61">SUM(G38:H38)</f>
        <v>1687081.93</v>
      </c>
      <c r="J38" s="163">
        <v>1935588.89</v>
      </c>
      <c r="K38" s="163">
        <v>2275159.1</v>
      </c>
      <c r="L38" s="165">
        <v>135207.5</v>
      </c>
      <c r="M38" s="118">
        <f aca="true" t="shared" si="6" ref="M38:M61">SUM(J38:L38)</f>
        <v>4345955.49</v>
      </c>
      <c r="N38" s="166">
        <v>1593517.01</v>
      </c>
      <c r="O38" s="166">
        <v>285520.82000000007</v>
      </c>
      <c r="P38" s="39">
        <v>0</v>
      </c>
      <c r="Q38" s="39">
        <v>0</v>
      </c>
      <c r="R38" s="39">
        <v>0</v>
      </c>
      <c r="S38" s="39">
        <v>0</v>
      </c>
      <c r="T38" s="119"/>
      <c r="U38" s="119"/>
      <c r="V38" s="119"/>
      <c r="W38" s="119"/>
      <c r="X38" s="39">
        <v>1472343.35</v>
      </c>
      <c r="Y38" s="119">
        <v>1938431.7200000002</v>
      </c>
      <c r="Z38" s="119"/>
      <c r="AA38" s="119"/>
      <c r="AB38" s="119"/>
      <c r="AC38" s="120">
        <f aca="true" t="shared" si="7" ref="AC38:AC61">SUM(N38:AB38)+M38+I38+F38</f>
        <v>13972084.57</v>
      </c>
      <c r="AE38" s="3"/>
    </row>
    <row r="39" spans="1:31" ht="21.75" customHeight="1">
      <c r="A39" s="2" t="s">
        <v>390</v>
      </c>
      <c r="B39" s="163">
        <v>500000</v>
      </c>
      <c r="C39" s="163">
        <v>1232521.32</v>
      </c>
      <c r="D39" s="163">
        <v>501955.85</v>
      </c>
      <c r="E39" s="163">
        <v>501955.85</v>
      </c>
      <c r="F39" s="164">
        <f t="shared" si="4"/>
        <v>2736433.02</v>
      </c>
      <c r="G39" s="163">
        <v>1754943.52</v>
      </c>
      <c r="H39" s="163">
        <v>644989.93</v>
      </c>
      <c r="I39" s="164">
        <f t="shared" si="5"/>
        <v>2399933.45</v>
      </c>
      <c r="J39" s="163">
        <v>2209043.82</v>
      </c>
      <c r="K39" s="163">
        <v>2596587.62</v>
      </c>
      <c r="L39" s="165">
        <v>154309.27</v>
      </c>
      <c r="M39" s="118">
        <f t="shared" si="6"/>
        <v>4959940.709999999</v>
      </c>
      <c r="N39" s="166">
        <v>1818644.93</v>
      </c>
      <c r="O39" s="166">
        <v>4620507.399999999</v>
      </c>
      <c r="P39" s="39">
        <v>4468970.76</v>
      </c>
      <c r="Q39" s="39">
        <v>7171794.12</v>
      </c>
      <c r="R39" s="39">
        <v>4468970.74</v>
      </c>
      <c r="S39" s="39">
        <v>3264082.89</v>
      </c>
      <c r="T39" s="119"/>
      <c r="U39" s="119"/>
      <c r="V39" s="119"/>
      <c r="W39" s="119"/>
      <c r="X39" s="39">
        <v>1147481.51</v>
      </c>
      <c r="Y39" s="119">
        <v>6958673.09</v>
      </c>
      <c r="Z39" s="119"/>
      <c r="AA39" s="119"/>
      <c r="AB39" s="119"/>
      <c r="AC39" s="120">
        <f t="shared" si="7"/>
        <v>44015432.62000001</v>
      </c>
      <c r="AD39" s="3"/>
      <c r="AE39" s="3"/>
    </row>
    <row r="40" spans="1:31" ht="21.75" customHeight="1">
      <c r="A40" s="2" t="s">
        <v>33</v>
      </c>
      <c r="B40" s="163">
        <v>500000</v>
      </c>
      <c r="C40" s="163">
        <v>586645.6</v>
      </c>
      <c r="D40" s="163">
        <v>781359.8</v>
      </c>
      <c r="E40" s="163">
        <v>439718.49</v>
      </c>
      <c r="F40" s="164">
        <f t="shared" si="4"/>
        <v>2307723.89</v>
      </c>
      <c r="G40" s="163">
        <v>3605453.28</v>
      </c>
      <c r="H40" s="163">
        <v>1325103.08</v>
      </c>
      <c r="I40" s="164">
        <f t="shared" si="5"/>
        <v>4930556.359999999</v>
      </c>
      <c r="J40" s="163">
        <v>3179808.83</v>
      </c>
      <c r="K40" s="163">
        <v>3737658.88</v>
      </c>
      <c r="L40" s="165">
        <v>222120.53</v>
      </c>
      <c r="M40" s="118">
        <f t="shared" si="6"/>
        <v>7139588.24</v>
      </c>
      <c r="N40" s="166">
        <v>2617849.02</v>
      </c>
      <c r="O40" s="166">
        <v>0</v>
      </c>
      <c r="P40" s="39">
        <v>0</v>
      </c>
      <c r="Q40" s="39">
        <v>0</v>
      </c>
      <c r="R40" s="39">
        <v>0</v>
      </c>
      <c r="S40" s="39">
        <v>0</v>
      </c>
      <c r="T40" s="119"/>
      <c r="U40" s="119"/>
      <c r="V40" s="119"/>
      <c r="W40" s="119"/>
      <c r="X40" s="39">
        <v>0</v>
      </c>
      <c r="Y40" s="119">
        <v>3664305.6999999997</v>
      </c>
      <c r="Z40" s="119"/>
      <c r="AA40" s="119"/>
      <c r="AB40" s="119"/>
      <c r="AC40" s="120">
        <f t="shared" si="7"/>
        <v>20660023.21</v>
      </c>
      <c r="AE40" s="3"/>
    </row>
    <row r="41" spans="1:31" ht="21.75" customHeight="1">
      <c r="A41" s="2" t="s">
        <v>34</v>
      </c>
      <c r="B41" s="163">
        <v>500000</v>
      </c>
      <c r="C41" s="163"/>
      <c r="D41" s="163">
        <v>221678.34</v>
      </c>
      <c r="E41" s="163"/>
      <c r="F41" s="164">
        <f t="shared" si="4"/>
        <v>721678.34</v>
      </c>
      <c r="G41" s="163">
        <v>1251048.85</v>
      </c>
      <c r="H41" s="163">
        <v>459794.8</v>
      </c>
      <c r="I41" s="164">
        <f t="shared" si="5"/>
        <v>1710843.6500000001</v>
      </c>
      <c r="J41" s="163">
        <v>1944704.05</v>
      </c>
      <c r="K41" s="163">
        <v>2285873.38</v>
      </c>
      <c r="L41" s="165">
        <v>135844.24</v>
      </c>
      <c r="M41" s="118">
        <f t="shared" si="6"/>
        <v>4366421.67</v>
      </c>
      <c r="N41" s="166">
        <v>1601021.28</v>
      </c>
      <c r="O41" s="166">
        <v>2158305.99</v>
      </c>
      <c r="P41" s="39">
        <v>140851.9</v>
      </c>
      <c r="Q41" s="39">
        <v>59849.49</v>
      </c>
      <c r="R41" s="39">
        <v>140851.89</v>
      </c>
      <c r="S41" s="39">
        <v>2836540.3600000003</v>
      </c>
      <c r="T41" s="119"/>
      <c r="U41" s="119"/>
      <c r="V41" s="119"/>
      <c r="W41" s="119"/>
      <c r="X41" s="39">
        <v>8696628.74</v>
      </c>
      <c r="Y41" s="119">
        <v>1572827.0999999999</v>
      </c>
      <c r="Z41" s="119"/>
      <c r="AA41" s="119"/>
      <c r="AB41" s="119"/>
      <c r="AC41" s="120">
        <f t="shared" si="7"/>
        <v>24005820.41</v>
      </c>
      <c r="AE41" s="3"/>
    </row>
    <row r="42" spans="1:31" ht="21.75" customHeight="1">
      <c r="A42" s="2" t="s">
        <v>35</v>
      </c>
      <c r="B42" s="163">
        <v>500000</v>
      </c>
      <c r="C42" s="163"/>
      <c r="D42" s="163"/>
      <c r="E42" s="163">
        <v>265784.67</v>
      </c>
      <c r="F42" s="164">
        <f t="shared" si="4"/>
        <v>765784.6699999999</v>
      </c>
      <c r="G42" s="163">
        <v>156381.11</v>
      </c>
      <c r="H42" s="163">
        <v>57474.35</v>
      </c>
      <c r="I42" s="164">
        <f t="shared" si="5"/>
        <v>213855.46</v>
      </c>
      <c r="J42" s="163">
        <v>1370448.69</v>
      </c>
      <c r="K42" s="163">
        <v>1610873.48</v>
      </c>
      <c r="L42" s="165">
        <v>95730.54</v>
      </c>
      <c r="M42" s="118">
        <f t="shared" si="6"/>
        <v>3077052.71</v>
      </c>
      <c r="N42" s="166">
        <v>1128252.66</v>
      </c>
      <c r="O42" s="166">
        <v>1396096.76</v>
      </c>
      <c r="P42" s="39">
        <v>0</v>
      </c>
      <c r="Q42" s="39">
        <v>0</v>
      </c>
      <c r="R42" s="39">
        <v>0</v>
      </c>
      <c r="S42" s="39">
        <v>191914.31</v>
      </c>
      <c r="T42" s="119"/>
      <c r="U42" s="119"/>
      <c r="V42" s="119"/>
      <c r="W42" s="119"/>
      <c r="X42" s="39">
        <v>185471.7</v>
      </c>
      <c r="Y42" s="119">
        <v>3857882.954</v>
      </c>
      <c r="Z42" s="119"/>
      <c r="AA42" s="119"/>
      <c r="AB42" s="119"/>
      <c r="AC42" s="120">
        <f t="shared" si="7"/>
        <v>10816311.224000001</v>
      </c>
      <c r="AE42" s="3"/>
    </row>
    <row r="43" spans="1:31" ht="21.75" customHeight="1">
      <c r="A43" s="2" t="s">
        <v>36</v>
      </c>
      <c r="B43" s="163">
        <v>500000</v>
      </c>
      <c r="C43" s="163"/>
      <c r="D43" s="163">
        <v>219892.43</v>
      </c>
      <c r="E43" s="163">
        <v>246557.89</v>
      </c>
      <c r="F43" s="164">
        <f t="shared" si="4"/>
        <v>966450.32</v>
      </c>
      <c r="G43" s="163">
        <v>269323.02</v>
      </c>
      <c r="H43" s="163">
        <v>98983.6</v>
      </c>
      <c r="I43" s="164">
        <f t="shared" si="5"/>
        <v>368306.62</v>
      </c>
      <c r="J43" s="163">
        <v>1429697.26</v>
      </c>
      <c r="K43" s="163">
        <v>1680516.33</v>
      </c>
      <c r="L43" s="165">
        <v>99869.25</v>
      </c>
      <c r="M43" s="118">
        <f t="shared" si="6"/>
        <v>3210082.84</v>
      </c>
      <c r="N43" s="166">
        <v>1177030.37</v>
      </c>
      <c r="O43" s="166">
        <v>0</v>
      </c>
      <c r="P43" s="39">
        <v>0</v>
      </c>
      <c r="Q43" s="39">
        <v>0</v>
      </c>
      <c r="R43" s="39">
        <v>0</v>
      </c>
      <c r="S43" s="39">
        <v>0</v>
      </c>
      <c r="T43" s="119"/>
      <c r="U43" s="119"/>
      <c r="V43" s="119"/>
      <c r="W43" s="119"/>
      <c r="X43" s="39">
        <v>220962.2</v>
      </c>
      <c r="Y43" s="119">
        <v>0</v>
      </c>
      <c r="Z43" s="119"/>
      <c r="AA43" s="119"/>
      <c r="AB43" s="119"/>
      <c r="AC43" s="120">
        <f t="shared" si="7"/>
        <v>5942832.350000001</v>
      </c>
      <c r="AE43" s="3"/>
    </row>
    <row r="44" spans="1:31" ht="21.75" customHeight="1">
      <c r="A44" s="2" t="s">
        <v>37</v>
      </c>
      <c r="B44" s="163">
        <v>500000</v>
      </c>
      <c r="C44" s="163"/>
      <c r="D44" s="163"/>
      <c r="E44" s="163"/>
      <c r="F44" s="164">
        <f t="shared" si="4"/>
        <v>500000</v>
      </c>
      <c r="G44" s="163">
        <v>1363990.76</v>
      </c>
      <c r="H44" s="163">
        <v>501304.06</v>
      </c>
      <c r="I44" s="164">
        <f t="shared" si="5"/>
        <v>1865294.82</v>
      </c>
      <c r="J44" s="163">
        <v>2003952.62</v>
      </c>
      <c r="K44" s="163">
        <v>2355516.23</v>
      </c>
      <c r="L44" s="165">
        <v>139982.95</v>
      </c>
      <c r="M44" s="118">
        <f t="shared" si="6"/>
        <v>4499451.8</v>
      </c>
      <c r="N44" s="166">
        <v>1649798.99</v>
      </c>
      <c r="O44" s="166">
        <v>0</v>
      </c>
      <c r="P44" s="39">
        <v>0</v>
      </c>
      <c r="Q44" s="39">
        <v>0</v>
      </c>
      <c r="R44" s="39">
        <v>0</v>
      </c>
      <c r="S44" s="39">
        <v>0</v>
      </c>
      <c r="T44" s="119"/>
      <c r="U44" s="119"/>
      <c r="V44" s="119"/>
      <c r="W44" s="119"/>
      <c r="X44" s="39">
        <v>0</v>
      </c>
      <c r="Y44" s="119">
        <v>0</v>
      </c>
      <c r="Z44" s="119"/>
      <c r="AA44" s="119"/>
      <c r="AB44" s="119"/>
      <c r="AC44" s="120">
        <f t="shared" si="7"/>
        <v>8514545.61</v>
      </c>
      <c r="AE44" s="3"/>
    </row>
    <row r="45" spans="1:31" ht="21.75" customHeight="1">
      <c r="A45" s="2" t="s">
        <v>38</v>
      </c>
      <c r="B45" s="163">
        <v>500000</v>
      </c>
      <c r="C45" s="163">
        <v>2364632.87</v>
      </c>
      <c r="D45" s="163">
        <v>4190188</v>
      </c>
      <c r="E45" s="163">
        <v>2936803.7</v>
      </c>
      <c r="F45" s="164">
        <f t="shared" si="4"/>
        <v>9991624.57</v>
      </c>
      <c r="G45" s="163">
        <v>2302277.4</v>
      </c>
      <c r="H45" s="163">
        <v>846150.16</v>
      </c>
      <c r="I45" s="164">
        <f t="shared" si="5"/>
        <v>3148427.56</v>
      </c>
      <c r="J45" s="163">
        <v>2496171.5</v>
      </c>
      <c r="K45" s="163">
        <v>2934087.57</v>
      </c>
      <c r="L45" s="165">
        <v>174366.12</v>
      </c>
      <c r="M45" s="118">
        <f t="shared" si="6"/>
        <v>5604625.19</v>
      </c>
      <c r="N45" s="166">
        <v>2055029.24</v>
      </c>
      <c r="O45" s="166">
        <v>3279792.6999999997</v>
      </c>
      <c r="P45" s="39">
        <v>599002.27</v>
      </c>
      <c r="Q45" s="39">
        <v>0</v>
      </c>
      <c r="R45" s="39">
        <v>599002.27</v>
      </c>
      <c r="S45" s="39">
        <v>4090046.3299999996</v>
      </c>
      <c r="T45" s="119"/>
      <c r="U45" s="119"/>
      <c r="V45" s="119"/>
      <c r="W45" s="119"/>
      <c r="X45" s="39">
        <v>5278730.66</v>
      </c>
      <c r="Y45" s="119">
        <v>6626509.67</v>
      </c>
      <c r="Z45" s="119"/>
      <c r="AA45" s="119"/>
      <c r="AB45" s="119"/>
      <c r="AC45" s="120">
        <f t="shared" si="7"/>
        <v>41272790.46</v>
      </c>
      <c r="AE45" s="3"/>
    </row>
    <row r="46" spans="1:31" ht="21.75" customHeight="1">
      <c r="A46" s="2" t="s">
        <v>39</v>
      </c>
      <c r="B46" s="163">
        <v>500000</v>
      </c>
      <c r="C46" s="163">
        <v>1012299.72</v>
      </c>
      <c r="D46" s="163">
        <v>659794.59</v>
      </c>
      <c r="E46" s="163"/>
      <c r="F46" s="164">
        <f t="shared" si="4"/>
        <v>2172094.31</v>
      </c>
      <c r="G46" s="163">
        <v>2528161.22</v>
      </c>
      <c r="H46" s="163">
        <v>929168.66</v>
      </c>
      <c r="I46" s="164">
        <f t="shared" si="5"/>
        <v>3457329.8800000004</v>
      </c>
      <c r="J46" s="163">
        <v>2614668.64</v>
      </c>
      <c r="K46" s="163">
        <v>3073373.26</v>
      </c>
      <c r="L46" s="165">
        <v>182643.55</v>
      </c>
      <c r="M46" s="118">
        <f t="shared" si="6"/>
        <v>5870685.45</v>
      </c>
      <c r="N46" s="166">
        <v>2152584.67</v>
      </c>
      <c r="O46" s="166">
        <v>0</v>
      </c>
      <c r="P46" s="39">
        <v>0</v>
      </c>
      <c r="Q46" s="39">
        <v>0</v>
      </c>
      <c r="R46" s="39">
        <v>0</v>
      </c>
      <c r="S46" s="39">
        <v>0</v>
      </c>
      <c r="T46" s="119"/>
      <c r="U46" s="119"/>
      <c r="V46" s="119"/>
      <c r="W46" s="119"/>
      <c r="X46" s="39">
        <v>0</v>
      </c>
      <c r="Y46" s="119">
        <v>4340369.48</v>
      </c>
      <c r="Z46" s="119"/>
      <c r="AA46" s="119"/>
      <c r="AB46" s="119"/>
      <c r="AC46" s="120">
        <f t="shared" si="7"/>
        <v>17993063.790000003</v>
      </c>
      <c r="AE46" s="3"/>
    </row>
    <row r="47" spans="1:31" ht="21.75" customHeight="1">
      <c r="A47" s="2" t="s">
        <v>40</v>
      </c>
      <c r="B47" s="163">
        <v>500000</v>
      </c>
      <c r="C47" s="163">
        <v>518995.76</v>
      </c>
      <c r="D47" s="163">
        <v>1349445.13</v>
      </c>
      <c r="E47" s="163">
        <v>998812.11</v>
      </c>
      <c r="F47" s="164">
        <f t="shared" si="4"/>
        <v>3367252.9999999995</v>
      </c>
      <c r="G47" s="163">
        <v>2389155.79</v>
      </c>
      <c r="H47" s="163">
        <v>878080.35</v>
      </c>
      <c r="I47" s="164">
        <f t="shared" si="5"/>
        <v>3267236.14</v>
      </c>
      <c r="J47" s="163">
        <v>2541747.32</v>
      </c>
      <c r="K47" s="163">
        <v>2987658.99</v>
      </c>
      <c r="L47" s="165">
        <v>177549.75</v>
      </c>
      <c r="M47" s="118">
        <f t="shared" si="6"/>
        <v>5706956.0600000005</v>
      </c>
      <c r="N47" s="166">
        <v>2092550.56</v>
      </c>
      <c r="O47" s="166">
        <v>0</v>
      </c>
      <c r="P47" s="39">
        <v>0</v>
      </c>
      <c r="Q47" s="39">
        <v>0</v>
      </c>
      <c r="R47" s="39">
        <v>0</v>
      </c>
      <c r="S47" s="39">
        <v>1015219.9</v>
      </c>
      <c r="T47" s="119"/>
      <c r="U47" s="119"/>
      <c r="V47" s="119"/>
      <c r="W47" s="119"/>
      <c r="X47" s="39">
        <v>2562430.5199999996</v>
      </c>
      <c r="Y47" s="119">
        <v>4517269.78</v>
      </c>
      <c r="Z47" s="119"/>
      <c r="AA47" s="119"/>
      <c r="AB47" s="119"/>
      <c r="AC47" s="120">
        <f t="shared" si="7"/>
        <v>22528915.96</v>
      </c>
      <c r="AE47" s="3"/>
    </row>
    <row r="48" spans="1:31" ht="21.75" customHeight="1">
      <c r="A48" s="2" t="s">
        <v>41</v>
      </c>
      <c r="B48" s="163">
        <v>500000</v>
      </c>
      <c r="C48" s="163"/>
      <c r="D48" s="163"/>
      <c r="E48" s="163">
        <v>608700.69</v>
      </c>
      <c r="F48" s="164">
        <f t="shared" si="4"/>
        <v>1108700.69</v>
      </c>
      <c r="G48" s="163">
        <v>1085979.9</v>
      </c>
      <c r="H48" s="163">
        <v>399127.43</v>
      </c>
      <c r="I48" s="164">
        <f t="shared" si="5"/>
        <v>1485107.3299999998</v>
      </c>
      <c r="J48" s="163">
        <v>2427807.77</v>
      </c>
      <c r="K48" s="163">
        <v>2853730.44</v>
      </c>
      <c r="L48" s="165">
        <v>169590.68</v>
      </c>
      <c r="M48" s="118">
        <f t="shared" si="6"/>
        <v>5451128.89</v>
      </c>
      <c r="N48" s="166">
        <v>1998747.26</v>
      </c>
      <c r="O48" s="166">
        <v>0</v>
      </c>
      <c r="P48" s="39">
        <v>0</v>
      </c>
      <c r="Q48" s="39">
        <v>0</v>
      </c>
      <c r="R48" s="39">
        <v>0</v>
      </c>
      <c r="S48" s="39">
        <v>1494457.7200000002</v>
      </c>
      <c r="T48" s="119"/>
      <c r="U48" s="119"/>
      <c r="V48" s="119"/>
      <c r="W48" s="119"/>
      <c r="X48" s="39">
        <v>2228902.5300000003</v>
      </c>
      <c r="Y48" s="119">
        <v>9330892.8</v>
      </c>
      <c r="Z48" s="119"/>
      <c r="AA48" s="119"/>
      <c r="AB48" s="119"/>
      <c r="AC48" s="120">
        <f t="shared" si="7"/>
        <v>23097937.220000003</v>
      </c>
      <c r="AE48" s="3"/>
    </row>
    <row r="49" spans="1:31" ht="21.75" customHeight="1">
      <c r="A49" s="2" t="s">
        <v>42</v>
      </c>
      <c r="B49" s="163">
        <v>500000</v>
      </c>
      <c r="C49" s="163"/>
      <c r="D49" s="163"/>
      <c r="E49" s="163"/>
      <c r="F49" s="164">
        <f t="shared" si="4"/>
        <v>500000</v>
      </c>
      <c r="G49" s="163">
        <v>1502996.19</v>
      </c>
      <c r="H49" s="163">
        <v>552392.37</v>
      </c>
      <c r="I49" s="164">
        <f t="shared" si="5"/>
        <v>2055388.56</v>
      </c>
      <c r="J49" s="163">
        <v>2076873.94</v>
      </c>
      <c r="K49" s="163">
        <v>2441230.5</v>
      </c>
      <c r="L49" s="165">
        <v>145076.75</v>
      </c>
      <c r="M49" s="118">
        <f t="shared" si="6"/>
        <v>4663181.1899999995</v>
      </c>
      <c r="N49" s="166">
        <v>1709833.1</v>
      </c>
      <c r="O49" s="166">
        <v>1732870.3199999998</v>
      </c>
      <c r="P49" s="39">
        <v>2716865.94</v>
      </c>
      <c r="Q49" s="39">
        <v>3507205.48</v>
      </c>
      <c r="R49" s="39">
        <v>2716865.92</v>
      </c>
      <c r="S49" s="39">
        <v>2516516.21</v>
      </c>
      <c r="T49" s="119"/>
      <c r="U49" s="119"/>
      <c r="V49" s="119"/>
      <c r="W49" s="119"/>
      <c r="X49" s="39">
        <v>5164650.819999999</v>
      </c>
      <c r="Y49" s="119">
        <v>5254258.350000001</v>
      </c>
      <c r="Z49" s="119"/>
      <c r="AA49" s="119"/>
      <c r="AB49" s="119"/>
      <c r="AC49" s="120">
        <f t="shared" si="7"/>
        <v>32537635.889999997</v>
      </c>
      <c r="AE49" s="3"/>
    </row>
    <row r="50" spans="1:31" ht="21.75" customHeight="1">
      <c r="A50" s="2" t="s">
        <v>43</v>
      </c>
      <c r="B50" s="163">
        <v>500000</v>
      </c>
      <c r="C50" s="163">
        <v>523996.47</v>
      </c>
      <c r="D50" s="163"/>
      <c r="E50" s="163">
        <v>788513.68</v>
      </c>
      <c r="F50" s="164">
        <f t="shared" si="4"/>
        <v>1812510.15</v>
      </c>
      <c r="G50" s="163">
        <v>3596765.44</v>
      </c>
      <c r="H50" s="163">
        <v>1321910.06</v>
      </c>
      <c r="I50" s="164">
        <f t="shared" si="5"/>
        <v>4918675.5</v>
      </c>
      <c r="J50" s="163">
        <v>3175251.25</v>
      </c>
      <c r="K50" s="163">
        <v>3732301.73</v>
      </c>
      <c r="L50" s="165">
        <v>221802.17</v>
      </c>
      <c r="M50" s="118">
        <f t="shared" si="6"/>
        <v>7129355.15</v>
      </c>
      <c r="N50" s="166">
        <v>2614096.89</v>
      </c>
      <c r="O50" s="166">
        <v>1603735.49</v>
      </c>
      <c r="P50" s="39">
        <v>1109786.09</v>
      </c>
      <c r="Q50" s="39">
        <v>1480221.8900000001</v>
      </c>
      <c r="R50" s="39">
        <v>1203174.5800000015</v>
      </c>
      <c r="S50" s="39">
        <v>1512411.73</v>
      </c>
      <c r="T50" s="119"/>
      <c r="U50" s="119"/>
      <c r="V50" s="119"/>
      <c r="W50" s="119"/>
      <c r="X50" s="39">
        <v>2316265.5199999986</v>
      </c>
      <c r="Y50" s="119">
        <v>9653512.98</v>
      </c>
      <c r="Z50" s="119"/>
      <c r="AA50" s="119"/>
      <c r="AB50" s="119"/>
      <c r="AC50" s="120">
        <f t="shared" si="7"/>
        <v>35353745.97</v>
      </c>
      <c r="AE50" s="3"/>
    </row>
    <row r="51" spans="1:31" ht="21.75" customHeight="1">
      <c r="A51" s="2" t="s">
        <v>44</v>
      </c>
      <c r="B51" s="163">
        <v>500000</v>
      </c>
      <c r="C51" s="163">
        <v>772448.18</v>
      </c>
      <c r="D51" s="163">
        <v>746142</v>
      </c>
      <c r="E51" s="163">
        <v>870449.52</v>
      </c>
      <c r="F51" s="164">
        <f t="shared" si="4"/>
        <v>2889039.7</v>
      </c>
      <c r="G51" s="163">
        <v>4786999.41</v>
      </c>
      <c r="H51" s="163">
        <v>1759353.73</v>
      </c>
      <c r="I51" s="164">
        <f t="shared" si="5"/>
        <v>6546353.140000001</v>
      </c>
      <c r="J51" s="163">
        <v>3799640.01</v>
      </c>
      <c r="K51" s="163">
        <v>4466230.19</v>
      </c>
      <c r="L51" s="165">
        <v>265417.87</v>
      </c>
      <c r="M51" s="118">
        <f t="shared" si="6"/>
        <v>8531288.07</v>
      </c>
      <c r="N51" s="166">
        <v>3128138.96</v>
      </c>
      <c r="O51" s="166">
        <v>5045360.12</v>
      </c>
      <c r="P51" s="39">
        <v>4709714.66</v>
      </c>
      <c r="Q51" s="39">
        <v>1224244.8</v>
      </c>
      <c r="R51" s="39">
        <v>4709714.65</v>
      </c>
      <c r="S51" s="39">
        <v>3148501.3499999996</v>
      </c>
      <c r="T51" s="119"/>
      <c r="U51" s="119"/>
      <c r="V51" s="119"/>
      <c r="W51" s="119"/>
      <c r="X51" s="39">
        <v>10616222.190000001</v>
      </c>
      <c r="Y51" s="119">
        <v>15725514.02</v>
      </c>
      <c r="Z51" s="119"/>
      <c r="AA51" s="119"/>
      <c r="AB51" s="119"/>
      <c r="AC51" s="120">
        <f t="shared" si="7"/>
        <v>66274091.660000004</v>
      </c>
      <c r="AE51" s="3"/>
    </row>
    <row r="52" spans="1:31" ht="21.75" customHeight="1">
      <c r="A52" s="2" t="s">
        <v>45</v>
      </c>
      <c r="B52" s="163">
        <v>500000</v>
      </c>
      <c r="C52" s="163"/>
      <c r="D52" s="163">
        <v>915614.4</v>
      </c>
      <c r="E52" s="163">
        <v>477029.89</v>
      </c>
      <c r="F52" s="164">
        <f t="shared" si="4"/>
        <v>1892644.29</v>
      </c>
      <c r="G52" s="163">
        <v>1928700.31</v>
      </c>
      <c r="H52" s="163">
        <v>708850.32</v>
      </c>
      <c r="I52" s="164">
        <f t="shared" si="5"/>
        <v>2637550.63</v>
      </c>
      <c r="J52" s="163">
        <v>2300195.47</v>
      </c>
      <c r="K52" s="163">
        <v>2703730.46</v>
      </c>
      <c r="L52" s="165">
        <v>160676.52</v>
      </c>
      <c r="M52" s="118">
        <f t="shared" si="6"/>
        <v>5164602.449999999</v>
      </c>
      <c r="N52" s="166">
        <v>1893687.57</v>
      </c>
      <c r="O52" s="166">
        <v>2363753.4</v>
      </c>
      <c r="P52" s="39">
        <v>481463.49</v>
      </c>
      <c r="Q52" s="39">
        <v>714448.75</v>
      </c>
      <c r="R52" s="39">
        <v>481463.47</v>
      </c>
      <c r="S52" s="39">
        <v>840673.71</v>
      </c>
      <c r="T52" s="119"/>
      <c r="U52" s="119"/>
      <c r="V52" s="119"/>
      <c r="W52" s="119"/>
      <c r="X52" s="39">
        <v>1899655.39</v>
      </c>
      <c r="Y52" s="119">
        <v>1090360.76</v>
      </c>
      <c r="Z52" s="119"/>
      <c r="AA52" s="119"/>
      <c r="AB52" s="119"/>
      <c r="AC52" s="120">
        <f t="shared" si="7"/>
        <v>19460303.909999996</v>
      </c>
      <c r="AE52" s="3"/>
    </row>
    <row r="53" spans="1:31" ht="21.75" customHeight="1">
      <c r="A53" s="2" t="s">
        <v>46</v>
      </c>
      <c r="B53" s="163">
        <v>500000</v>
      </c>
      <c r="C53" s="163"/>
      <c r="D53" s="163">
        <v>90710.35</v>
      </c>
      <c r="E53" s="163">
        <v>616065.85</v>
      </c>
      <c r="F53" s="164">
        <f t="shared" si="4"/>
        <v>1206776.2</v>
      </c>
      <c r="G53" s="163">
        <v>1476932.67</v>
      </c>
      <c r="H53" s="163">
        <v>542813.31</v>
      </c>
      <c r="I53" s="164">
        <f t="shared" si="5"/>
        <v>2019745.98</v>
      </c>
      <c r="J53" s="163">
        <v>2063201.19</v>
      </c>
      <c r="K53" s="163">
        <v>2425159.07</v>
      </c>
      <c r="L53" s="165">
        <v>144121.67</v>
      </c>
      <c r="M53" s="118">
        <f t="shared" si="6"/>
        <v>4632481.93</v>
      </c>
      <c r="N53" s="166">
        <v>1698576.71</v>
      </c>
      <c r="O53" s="166">
        <v>0</v>
      </c>
      <c r="P53" s="39">
        <v>0</v>
      </c>
      <c r="Q53" s="39">
        <v>14164424.56</v>
      </c>
      <c r="R53" s="39">
        <v>0</v>
      </c>
      <c r="S53" s="39">
        <v>4261319.62</v>
      </c>
      <c r="T53" s="119"/>
      <c r="U53" s="119"/>
      <c r="V53" s="119"/>
      <c r="W53" s="119"/>
      <c r="X53" s="39">
        <v>2874723.39</v>
      </c>
      <c r="Y53" s="119">
        <v>7678231.3</v>
      </c>
      <c r="Z53" s="119"/>
      <c r="AA53" s="119"/>
      <c r="AB53" s="119"/>
      <c r="AC53" s="120">
        <f t="shared" si="7"/>
        <v>38536279.690000005</v>
      </c>
      <c r="AE53" s="3"/>
    </row>
    <row r="54" spans="1:31" ht="21.75" customHeight="1">
      <c r="A54" s="2" t="s">
        <v>70</v>
      </c>
      <c r="B54" s="163">
        <v>500000</v>
      </c>
      <c r="C54" s="163"/>
      <c r="D54" s="163">
        <v>161345.87</v>
      </c>
      <c r="E54" s="163"/>
      <c r="F54" s="164">
        <f t="shared" si="4"/>
        <v>661345.87</v>
      </c>
      <c r="G54" s="163">
        <v>946974.48</v>
      </c>
      <c r="H54" s="163">
        <v>348039.12</v>
      </c>
      <c r="I54" s="164">
        <f t="shared" si="5"/>
        <v>1295013.6</v>
      </c>
      <c r="J54" s="163">
        <v>1785188.68</v>
      </c>
      <c r="K54" s="163">
        <v>2098373.41</v>
      </c>
      <c r="L54" s="165">
        <v>124701.53</v>
      </c>
      <c r="M54" s="118">
        <f t="shared" si="6"/>
        <v>4008263.6199999996</v>
      </c>
      <c r="N54" s="166">
        <v>1469696.66</v>
      </c>
      <c r="O54" s="166">
        <v>1544078.36</v>
      </c>
      <c r="P54" s="39">
        <v>353133.53</v>
      </c>
      <c r="Q54" s="39">
        <v>0</v>
      </c>
      <c r="R54" s="39">
        <v>353133.52</v>
      </c>
      <c r="S54" s="39">
        <v>0</v>
      </c>
      <c r="T54" s="119"/>
      <c r="U54" s="119"/>
      <c r="V54" s="119"/>
      <c r="W54" s="119"/>
      <c r="X54" s="39">
        <v>2211296.66</v>
      </c>
      <c r="Y54" s="119">
        <v>6649824.89</v>
      </c>
      <c r="Z54" s="119"/>
      <c r="AA54" s="119"/>
      <c r="AB54" s="119"/>
      <c r="AC54" s="120">
        <f t="shared" si="7"/>
        <v>18545786.71</v>
      </c>
      <c r="AE54" s="3"/>
    </row>
    <row r="55" spans="1:31" ht="21.75" customHeight="1">
      <c r="A55" s="2" t="s">
        <v>47</v>
      </c>
      <c r="B55" s="163">
        <v>1632874.9</v>
      </c>
      <c r="C55" s="163">
        <v>3571646.73</v>
      </c>
      <c r="D55" s="163">
        <v>4204215.91</v>
      </c>
      <c r="E55" s="163"/>
      <c r="F55" s="164">
        <f t="shared" si="4"/>
        <v>9408737.54</v>
      </c>
      <c r="G55" s="163">
        <v>2562912.57</v>
      </c>
      <c r="H55" s="163">
        <v>941940.74</v>
      </c>
      <c r="I55" s="164">
        <f t="shared" si="5"/>
        <v>3504853.3099999996</v>
      </c>
      <c r="J55" s="163">
        <v>2632898.97</v>
      </c>
      <c r="K55" s="163">
        <v>3094801.83</v>
      </c>
      <c r="L55" s="165">
        <v>183917</v>
      </c>
      <c r="M55" s="118">
        <f t="shared" si="6"/>
        <v>5911617.800000001</v>
      </c>
      <c r="N55" s="166">
        <v>2167593.19</v>
      </c>
      <c r="O55" s="166">
        <v>0</v>
      </c>
      <c r="P55" s="39">
        <v>0</v>
      </c>
      <c r="Q55" s="39">
        <v>0</v>
      </c>
      <c r="R55" s="39">
        <v>0</v>
      </c>
      <c r="S55" s="39">
        <v>0</v>
      </c>
      <c r="T55" s="119"/>
      <c r="U55" s="119"/>
      <c r="V55" s="119"/>
      <c r="W55" s="119"/>
      <c r="X55" s="39">
        <v>0</v>
      </c>
      <c r="Y55" s="119">
        <v>5790208.430000001</v>
      </c>
      <c r="Z55" s="119"/>
      <c r="AA55" s="119"/>
      <c r="AB55" s="119"/>
      <c r="AC55" s="120">
        <f t="shared" si="7"/>
        <v>26783010.27</v>
      </c>
      <c r="AE55" s="3"/>
    </row>
    <row r="56" spans="1:31" ht="21.75" customHeight="1">
      <c r="A56" s="2" t="s">
        <v>48</v>
      </c>
      <c r="B56" s="163">
        <v>500000</v>
      </c>
      <c r="C56" s="163"/>
      <c r="D56" s="163"/>
      <c r="E56" s="163"/>
      <c r="F56" s="164">
        <f t="shared" si="4"/>
        <v>500000</v>
      </c>
      <c r="G56" s="163">
        <v>1520371.86</v>
      </c>
      <c r="H56" s="163">
        <v>558778.41</v>
      </c>
      <c r="I56" s="164">
        <f t="shared" si="5"/>
        <v>2079150.27</v>
      </c>
      <c r="J56" s="163">
        <v>2085989.1</v>
      </c>
      <c r="K56" s="163">
        <v>2451944.78</v>
      </c>
      <c r="L56" s="165">
        <v>145713.48</v>
      </c>
      <c r="M56" s="118">
        <f t="shared" si="6"/>
        <v>4683647.36</v>
      </c>
      <c r="N56" s="166">
        <v>1717337.37</v>
      </c>
      <c r="O56" s="166">
        <v>7481435.5600000005</v>
      </c>
      <c r="P56" s="39">
        <v>3473392.95</v>
      </c>
      <c r="Q56" s="39">
        <v>2889793.37</v>
      </c>
      <c r="R56" s="39">
        <v>3473392.94</v>
      </c>
      <c r="S56" s="39">
        <v>2327882.12</v>
      </c>
      <c r="T56" s="119"/>
      <c r="U56" s="119"/>
      <c r="V56" s="119"/>
      <c r="W56" s="119"/>
      <c r="X56" s="39">
        <v>1637127.4300000002</v>
      </c>
      <c r="Y56" s="119">
        <v>7568611.510000001</v>
      </c>
      <c r="Z56" s="119"/>
      <c r="AA56" s="119"/>
      <c r="AB56" s="119"/>
      <c r="AC56" s="120">
        <f t="shared" si="7"/>
        <v>37831770.88000001</v>
      </c>
      <c r="AE56" s="3"/>
    </row>
    <row r="57" spans="1:31" ht="21.75" customHeight="1">
      <c r="A57" s="2" t="s">
        <v>49</v>
      </c>
      <c r="B57" s="163">
        <v>500000</v>
      </c>
      <c r="C57" s="163">
        <v>2314276.72</v>
      </c>
      <c r="D57" s="163">
        <v>2662997.21</v>
      </c>
      <c r="E57" s="163">
        <v>3199862.83</v>
      </c>
      <c r="F57" s="164">
        <f t="shared" si="4"/>
        <v>8677136.76</v>
      </c>
      <c r="G57" s="163">
        <v>2224086.84</v>
      </c>
      <c r="H57" s="163">
        <v>817412.98</v>
      </c>
      <c r="I57" s="164">
        <f t="shared" si="5"/>
        <v>3041499.82</v>
      </c>
      <c r="J57" s="163">
        <v>2455153.26</v>
      </c>
      <c r="K57" s="163">
        <v>2885873.29</v>
      </c>
      <c r="L57" s="165">
        <v>171500.86</v>
      </c>
      <c r="M57" s="118">
        <f t="shared" si="6"/>
        <v>5512527.41</v>
      </c>
      <c r="N57" s="166">
        <v>2021260.05</v>
      </c>
      <c r="O57" s="166">
        <v>0</v>
      </c>
      <c r="P57" s="39">
        <v>0</v>
      </c>
      <c r="Q57" s="39">
        <v>0</v>
      </c>
      <c r="R57" s="39">
        <v>0</v>
      </c>
      <c r="S57" s="39">
        <v>0</v>
      </c>
      <c r="T57" s="119"/>
      <c r="U57" s="119"/>
      <c r="V57" s="119"/>
      <c r="W57" s="119"/>
      <c r="X57" s="39">
        <v>0</v>
      </c>
      <c r="Y57" s="119">
        <v>0</v>
      </c>
      <c r="Z57" s="119"/>
      <c r="AA57" s="119"/>
      <c r="AB57" s="119"/>
      <c r="AC57" s="120">
        <f t="shared" si="7"/>
        <v>19252424.04</v>
      </c>
      <c r="AE57" s="3"/>
    </row>
    <row r="58" spans="1:31" ht="21.75" customHeight="1">
      <c r="A58" s="2" t="s">
        <v>50</v>
      </c>
      <c r="B58" s="163">
        <v>500000</v>
      </c>
      <c r="C58" s="163">
        <v>848716.15</v>
      </c>
      <c r="D58" s="163"/>
      <c r="E58" s="163"/>
      <c r="F58" s="164">
        <f t="shared" si="4"/>
        <v>1348716.15</v>
      </c>
      <c r="G58" s="163">
        <v>443079.8</v>
      </c>
      <c r="H58" s="163">
        <v>162843.99</v>
      </c>
      <c r="I58" s="164">
        <f t="shared" si="5"/>
        <v>605923.79</v>
      </c>
      <c r="J58" s="163">
        <v>1520848.91</v>
      </c>
      <c r="K58" s="163">
        <v>1787659.17</v>
      </c>
      <c r="L58" s="165">
        <v>106236.5</v>
      </c>
      <c r="M58" s="118">
        <f t="shared" si="6"/>
        <v>3414744.58</v>
      </c>
      <c r="N58" s="166">
        <v>1252073.01</v>
      </c>
      <c r="O58" s="166">
        <v>0</v>
      </c>
      <c r="P58" s="39">
        <v>0</v>
      </c>
      <c r="Q58" s="39">
        <v>0</v>
      </c>
      <c r="R58" s="39">
        <v>0</v>
      </c>
      <c r="S58" s="39">
        <v>1258903.1140000098</v>
      </c>
      <c r="T58" s="119"/>
      <c r="U58" s="119"/>
      <c r="V58" s="119"/>
      <c r="W58" s="119"/>
      <c r="X58" s="39">
        <v>5655743</v>
      </c>
      <c r="Y58" s="119">
        <v>6351887.25599999</v>
      </c>
      <c r="Z58" s="119"/>
      <c r="AA58" s="119"/>
      <c r="AB58" s="119"/>
      <c r="AC58" s="120">
        <f>SUM(N58:AB58)+M58+I58+F58</f>
        <v>19887990.9</v>
      </c>
      <c r="AE58" s="3"/>
    </row>
    <row r="59" spans="1:31" ht="21.75" customHeight="1">
      <c r="A59" s="2" t="s">
        <v>51</v>
      </c>
      <c r="B59" s="163">
        <v>500000</v>
      </c>
      <c r="C59" s="163">
        <v>580581.06</v>
      </c>
      <c r="D59" s="163">
        <v>152567.18</v>
      </c>
      <c r="E59" s="163">
        <v>259526.76</v>
      </c>
      <c r="F59" s="164">
        <f t="shared" si="4"/>
        <v>1492675</v>
      </c>
      <c r="G59" s="163">
        <v>747154.17</v>
      </c>
      <c r="H59" s="163">
        <v>274599.67</v>
      </c>
      <c r="I59" s="164">
        <f t="shared" si="5"/>
        <v>1021753.8400000001</v>
      </c>
      <c r="J59" s="163">
        <v>1680364.28</v>
      </c>
      <c r="K59" s="163">
        <v>1975159.14</v>
      </c>
      <c r="L59" s="165">
        <v>117379.2</v>
      </c>
      <c r="M59" s="118">
        <f t="shared" si="6"/>
        <v>3772902.62</v>
      </c>
      <c r="N59" s="166">
        <v>1383397.63</v>
      </c>
      <c r="O59" s="166">
        <v>0</v>
      </c>
      <c r="P59" s="39">
        <v>0</v>
      </c>
      <c r="Q59" s="39">
        <v>0</v>
      </c>
      <c r="R59" s="39">
        <v>0</v>
      </c>
      <c r="S59" s="39">
        <v>0</v>
      </c>
      <c r="T59" s="119"/>
      <c r="U59" s="119"/>
      <c r="V59" s="119"/>
      <c r="W59" s="119"/>
      <c r="X59" s="39">
        <v>0</v>
      </c>
      <c r="Y59" s="119">
        <v>1159498.71</v>
      </c>
      <c r="Z59" s="119"/>
      <c r="AA59" s="119"/>
      <c r="AB59" s="119"/>
      <c r="AC59" s="120">
        <f t="shared" si="7"/>
        <v>8830227.8</v>
      </c>
      <c r="AE59" s="3"/>
    </row>
    <row r="60" spans="1:31" ht="21.75" customHeight="1">
      <c r="A60" s="2" t="s">
        <v>52</v>
      </c>
      <c r="B60" s="163">
        <v>500000</v>
      </c>
      <c r="C60" s="163"/>
      <c r="D60" s="163"/>
      <c r="E60" s="163"/>
      <c r="F60" s="164">
        <f t="shared" si="4"/>
        <v>500000</v>
      </c>
      <c r="G60" s="163">
        <v>1172858.3</v>
      </c>
      <c r="H60" s="163">
        <v>431057.63</v>
      </c>
      <c r="I60" s="164">
        <f t="shared" si="5"/>
        <v>1603915.9300000002</v>
      </c>
      <c r="J60" s="163">
        <v>1903685.81</v>
      </c>
      <c r="K60" s="163">
        <v>2237659.1</v>
      </c>
      <c r="L60" s="165">
        <v>132978.98</v>
      </c>
      <c r="M60" s="118">
        <f t="shared" si="6"/>
        <v>4274323.890000001</v>
      </c>
      <c r="N60" s="166">
        <v>1567252.09</v>
      </c>
      <c r="O60" s="166">
        <v>0</v>
      </c>
      <c r="P60" s="39">
        <v>0</v>
      </c>
      <c r="Q60" s="39">
        <v>0</v>
      </c>
      <c r="R60" s="39">
        <v>0</v>
      </c>
      <c r="S60" s="39">
        <v>408008.36</v>
      </c>
      <c r="T60" s="119"/>
      <c r="U60" s="119"/>
      <c r="V60" s="119"/>
      <c r="W60" s="119"/>
      <c r="X60" s="39">
        <v>0</v>
      </c>
      <c r="Y60" s="119">
        <v>8136556.62</v>
      </c>
      <c r="Z60" s="119"/>
      <c r="AA60" s="119"/>
      <c r="AB60" s="119"/>
      <c r="AC60" s="120">
        <f t="shared" si="7"/>
        <v>16490056.89</v>
      </c>
      <c r="AE60" s="3"/>
    </row>
    <row r="61" spans="1:31" ht="20.25" customHeight="1">
      <c r="A61" s="2" t="s">
        <v>53</v>
      </c>
      <c r="B61" s="163">
        <v>500000</v>
      </c>
      <c r="C61" s="163"/>
      <c r="D61" s="163">
        <v>429260.25</v>
      </c>
      <c r="E61" s="163"/>
      <c r="F61" s="164">
        <f t="shared" si="4"/>
        <v>929260.25</v>
      </c>
      <c r="G61" s="163">
        <v>4682745.34</v>
      </c>
      <c r="H61" s="163">
        <v>1721037.49</v>
      </c>
      <c r="I61" s="164">
        <f t="shared" si="5"/>
        <v>6403782.83</v>
      </c>
      <c r="J61" s="163">
        <v>3744949.03</v>
      </c>
      <c r="K61" s="163">
        <v>4401944.49</v>
      </c>
      <c r="L61" s="165">
        <v>261597.51</v>
      </c>
      <c r="M61" s="118">
        <f t="shared" si="6"/>
        <v>8408491.03</v>
      </c>
      <c r="N61" s="166">
        <v>3083113.38</v>
      </c>
      <c r="O61" s="166">
        <v>8701725.97</v>
      </c>
      <c r="P61" s="39">
        <v>4374276.37</v>
      </c>
      <c r="Q61" s="39">
        <v>4602680.12</v>
      </c>
      <c r="R61" s="39">
        <v>4374276.35</v>
      </c>
      <c r="S61" s="39">
        <v>0</v>
      </c>
      <c r="T61" s="119"/>
      <c r="U61" s="119"/>
      <c r="V61" s="119"/>
      <c r="W61" s="119"/>
      <c r="X61" s="39">
        <v>0</v>
      </c>
      <c r="Y61" s="119">
        <v>16944265.9904</v>
      </c>
      <c r="Z61" s="119"/>
      <c r="AA61" s="119"/>
      <c r="AB61" s="119"/>
      <c r="AC61" s="120">
        <f t="shared" si="7"/>
        <v>57821872.290400006</v>
      </c>
      <c r="AE61" s="3"/>
    </row>
    <row r="62" spans="23:29" ht="21.75" customHeight="1">
      <c r="W62" s="152"/>
      <c r="X62" s="152"/>
      <c r="Y62" s="152"/>
      <c r="Z62" s="152"/>
      <c r="AA62" s="152"/>
      <c r="AB62" s="152"/>
      <c r="AC62" s="153"/>
    </row>
    <row r="63" spans="1:29" ht="39" customHeight="1">
      <c r="A63" s="151" t="s">
        <v>137</v>
      </c>
      <c r="W63" s="152"/>
      <c r="X63" s="153"/>
      <c r="Y63" s="152"/>
      <c r="Z63" s="152"/>
      <c r="AA63" s="152"/>
      <c r="AB63" s="152"/>
      <c r="AC63" s="153"/>
    </row>
    <row r="64" spans="1:29" ht="21.75" customHeight="1">
      <c r="A64" s="1" t="s">
        <v>401</v>
      </c>
      <c r="W64" s="152"/>
      <c r="X64" s="152"/>
      <c r="Y64" s="152"/>
      <c r="Z64" s="152"/>
      <c r="AA64" s="152"/>
      <c r="AB64" s="152"/>
      <c r="AC64" s="153"/>
    </row>
    <row r="65" spans="1:29" ht="21.75" customHeight="1">
      <c r="A65" s="1" t="s">
        <v>395</v>
      </c>
      <c r="W65" s="152"/>
      <c r="X65" s="152"/>
      <c r="Y65" s="152"/>
      <c r="Z65" s="152"/>
      <c r="AA65" s="152"/>
      <c r="AB65" s="152"/>
      <c r="AC65" s="153"/>
    </row>
  </sheetData>
  <sheetProtection/>
  <autoFilter ref="A2:AC61"/>
  <mergeCells count="10">
    <mergeCell ref="J3:L3"/>
    <mergeCell ref="A1:A2"/>
    <mergeCell ref="B1:F1"/>
    <mergeCell ref="G1:I1"/>
    <mergeCell ref="J1:M1"/>
    <mergeCell ref="AC1:AC2"/>
    <mergeCell ref="N1:O1"/>
    <mergeCell ref="W1:AB1"/>
    <mergeCell ref="T1:U1"/>
    <mergeCell ref="P1:S1"/>
  </mergeCells>
  <printOptions horizontalCentered="1"/>
  <pageMargins left="0.3937007874015748" right="0.3937007874015748" top="0.3937007874015748" bottom="0.3937007874015748" header="0.31496062992125984" footer="0.31496062992125984"/>
  <pageSetup fitToHeight="99" fitToWidth="1" horizontalDpi="600" verticalDpi="600" orientation="landscape" paperSize="9" scale="27" r:id="rId3"/>
  <legacyDrawing r:id="rId2"/>
</worksheet>
</file>

<file path=xl/worksheets/sheet10.xml><?xml version="1.0" encoding="utf-8"?>
<worksheet xmlns="http://schemas.openxmlformats.org/spreadsheetml/2006/main" xmlns:r="http://schemas.openxmlformats.org/officeDocument/2006/relationships">
  <sheetPr>
    <tabColor rgb="FF7030A0"/>
  </sheetPr>
  <dimension ref="A1:B13"/>
  <sheetViews>
    <sheetView zoomScalePageLayoutView="0" workbookViewId="0" topLeftCell="A1">
      <selection activeCell="A1" sqref="A1"/>
    </sheetView>
  </sheetViews>
  <sheetFormatPr defaultColWidth="9.140625" defaultRowHeight="15"/>
  <cols>
    <col min="1" max="1" width="25.8515625" style="0" customWidth="1"/>
    <col min="2" max="2" width="21.7109375" style="0" customWidth="1"/>
  </cols>
  <sheetData>
    <row r="1" ht="14.25">
      <c r="A1" t="s">
        <v>412</v>
      </c>
    </row>
    <row r="2" spans="1:2" ht="14.25">
      <c r="A2" s="170">
        <v>1126482439.78</v>
      </c>
      <c r="B2" t="s">
        <v>416</v>
      </c>
    </row>
    <row r="3" spans="1:2" ht="14.25">
      <c r="A3" s="170">
        <v>1076996874.885961</v>
      </c>
      <c r="B3" t="s">
        <v>417</v>
      </c>
    </row>
    <row r="4" ht="14.25">
      <c r="A4" s="170">
        <f>SUM(A2:A3)</f>
        <v>2203479314.6659613</v>
      </c>
    </row>
    <row r="5" ht="14.25">
      <c r="A5" t="s">
        <v>413</v>
      </c>
    </row>
    <row r="6" spans="1:2" ht="26.25">
      <c r="A6" s="170">
        <v>43133915</v>
      </c>
      <c r="B6" s="171" t="s">
        <v>418</v>
      </c>
    </row>
    <row r="7" ht="14.25">
      <c r="A7" t="s">
        <v>414</v>
      </c>
    </row>
    <row r="8" spans="1:2" ht="14.25">
      <c r="A8" s="170">
        <v>6894557.67</v>
      </c>
      <c r="B8" t="s">
        <v>416</v>
      </c>
    </row>
    <row r="9" spans="1:2" ht="14.25">
      <c r="A9" s="170">
        <v>11344000.3</v>
      </c>
      <c r="B9" t="s">
        <v>417</v>
      </c>
    </row>
    <row r="10" ht="14.25">
      <c r="A10" t="s">
        <v>415</v>
      </c>
    </row>
    <row r="11" spans="1:2" ht="14.25">
      <c r="A11" s="170">
        <v>25987211.1</v>
      </c>
      <c r="B11" s="171" t="s">
        <v>419</v>
      </c>
    </row>
    <row r="12" ht="14.25">
      <c r="A12" s="170"/>
    </row>
    <row r="13" ht="14.25">
      <c r="A13" s="170">
        <f>A4+A6+A8+A9+A11</f>
        <v>2290838998.7359614</v>
      </c>
    </row>
  </sheetData>
  <sheetProtection/>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R123"/>
  <sheetViews>
    <sheetView zoomScalePageLayoutView="0" workbookViewId="0" topLeftCell="A21">
      <selection activeCell="A1" sqref="A1:C1"/>
    </sheetView>
  </sheetViews>
  <sheetFormatPr defaultColWidth="11.421875" defaultRowHeight="15"/>
  <cols>
    <col min="1" max="1" width="10.8515625" style="31" customWidth="1"/>
    <col min="2" max="2" width="14.00390625" style="31" customWidth="1"/>
    <col min="3" max="3" width="16.140625" style="31" customWidth="1"/>
    <col min="4" max="4" width="13.8515625" style="31" customWidth="1"/>
    <col min="5" max="5" width="20.421875" style="31" customWidth="1"/>
    <col min="6" max="6" width="15.00390625" style="31" customWidth="1"/>
    <col min="7" max="7" width="15.8515625" style="31" customWidth="1"/>
    <col min="8" max="8" width="17.7109375" style="31" customWidth="1"/>
    <col min="9" max="10" width="16.8515625" style="31" bestFit="1" customWidth="1"/>
    <col min="11" max="11" width="15.140625" style="31" customWidth="1"/>
    <col min="12" max="12" width="15.7109375" style="31" customWidth="1"/>
    <col min="13" max="13" width="15.8515625" style="31" customWidth="1"/>
    <col min="14" max="15" width="15.28125" style="31" bestFit="1" customWidth="1"/>
    <col min="16" max="16" width="13.28125" style="31" bestFit="1" customWidth="1"/>
    <col min="17" max="16384" width="11.421875" style="31" customWidth="1"/>
  </cols>
  <sheetData>
    <row r="1" spans="1:3" ht="19.5" customHeight="1" hidden="1">
      <c r="A1" s="377" t="s">
        <v>80</v>
      </c>
      <c r="B1" s="377"/>
      <c r="C1" s="377"/>
    </row>
    <row r="2" spans="1:3" ht="14.25" hidden="1">
      <c r="A2" s="31" t="s">
        <v>79</v>
      </c>
      <c r="B2" s="31" t="s">
        <v>113</v>
      </c>
      <c r="C2" s="31" t="s">
        <v>114</v>
      </c>
    </row>
    <row r="3" spans="1:3" ht="14.25" hidden="1">
      <c r="A3" s="31">
        <v>2009</v>
      </c>
      <c r="B3" s="32">
        <v>77641.528</v>
      </c>
      <c r="C3" s="31">
        <v>18375.21</v>
      </c>
    </row>
    <row r="4" spans="1:3" ht="14.25" hidden="1">
      <c r="A4" s="31">
        <v>2010</v>
      </c>
      <c r="B4" s="32">
        <v>68258.314</v>
      </c>
      <c r="C4" s="31">
        <v>53767.3</v>
      </c>
    </row>
    <row r="5" spans="1:3" ht="14.25" hidden="1">
      <c r="A5" s="31">
        <v>2011</v>
      </c>
      <c r="B5" s="32">
        <v>53654.403</v>
      </c>
      <c r="C5" s="31">
        <v>59971.75</v>
      </c>
    </row>
    <row r="6" spans="1:13" ht="14.25" hidden="1">
      <c r="A6" s="31">
        <v>2012</v>
      </c>
      <c r="B6" s="31">
        <v>279384.54</v>
      </c>
      <c r="C6" s="31">
        <v>75391.98</v>
      </c>
      <c r="D6" s="31">
        <v>207506.24</v>
      </c>
      <c r="E6" s="31">
        <v>207506.23999999996</v>
      </c>
      <c r="F6" s="31">
        <v>182811.5</v>
      </c>
      <c r="G6" s="31">
        <v>292477</v>
      </c>
      <c r="H6" s="31">
        <v>327836.8</v>
      </c>
      <c r="I6" s="31">
        <v>1075061</v>
      </c>
      <c r="J6" s="31">
        <v>1159425</v>
      </c>
      <c r="K6" s="31">
        <v>1011500</v>
      </c>
      <c r="L6" s="31">
        <v>999600</v>
      </c>
      <c r="M6" s="31">
        <v>550800</v>
      </c>
    </row>
    <row r="7" spans="1:13" ht="14.25" hidden="1">
      <c r="A7" s="31">
        <v>2013</v>
      </c>
      <c r="B7" s="31">
        <v>680107.63</v>
      </c>
      <c r="C7" s="31">
        <v>182811.5</v>
      </c>
      <c r="D7" s="31">
        <v>182811.5</v>
      </c>
      <c r="E7" s="31">
        <f>E6*1000</f>
        <v>207506239.99999997</v>
      </c>
      <c r="F7" s="31">
        <f aca="true" t="shared" si="0" ref="F7:M7">F6*1000</f>
        <v>182811500</v>
      </c>
      <c r="G7" s="31">
        <f t="shared" si="0"/>
        <v>292477000</v>
      </c>
      <c r="H7" s="31">
        <f t="shared" si="0"/>
        <v>327836800</v>
      </c>
      <c r="I7" s="31">
        <f t="shared" si="0"/>
        <v>1075061000</v>
      </c>
      <c r="J7" s="31">
        <f t="shared" si="0"/>
        <v>1159425000</v>
      </c>
      <c r="K7" s="31">
        <f t="shared" si="0"/>
        <v>1011500000</v>
      </c>
      <c r="L7" s="31">
        <f t="shared" si="0"/>
        <v>999600000</v>
      </c>
      <c r="M7" s="31">
        <f t="shared" si="0"/>
        <v>550800000</v>
      </c>
    </row>
    <row r="8" spans="1:4" ht="14.25" hidden="1">
      <c r="A8" s="31">
        <v>2014</v>
      </c>
      <c r="B8" s="31">
        <v>1241170.9</v>
      </c>
      <c r="C8" s="31">
        <v>292477</v>
      </c>
      <c r="D8" s="31">
        <v>292477</v>
      </c>
    </row>
    <row r="9" spans="1:4" ht="14.25" hidden="1">
      <c r="A9" s="31">
        <v>2015</v>
      </c>
      <c r="B9" s="31">
        <v>1020000</v>
      </c>
      <c r="C9" s="31">
        <v>327836.8</v>
      </c>
      <c r="D9" s="31">
        <v>327836.8</v>
      </c>
    </row>
    <row r="10" spans="1:4" ht="14.25" hidden="1">
      <c r="A10" s="31">
        <v>2016</v>
      </c>
      <c r="B10" s="31">
        <v>1020000</v>
      </c>
      <c r="C10" s="31">
        <v>1075061</v>
      </c>
      <c r="D10" s="31">
        <v>1075061</v>
      </c>
    </row>
    <row r="11" spans="1:4" ht="14.25" hidden="1">
      <c r="A11" s="31">
        <v>2017</v>
      </c>
      <c r="B11" s="31">
        <v>1020000</v>
      </c>
      <c r="C11" s="31">
        <v>1159425</v>
      </c>
      <c r="D11" s="31">
        <v>1159425</v>
      </c>
    </row>
    <row r="12" spans="1:4" ht="14.25" hidden="1">
      <c r="A12" s="31">
        <v>2018</v>
      </c>
      <c r="B12" s="31">
        <v>510000</v>
      </c>
      <c r="C12" s="31">
        <v>1011500</v>
      </c>
      <c r="D12" s="31">
        <v>1011500</v>
      </c>
    </row>
    <row r="13" spans="1:4" ht="14.25" hidden="1">
      <c r="A13" s="31">
        <v>2019</v>
      </c>
      <c r="B13" s="31">
        <v>0</v>
      </c>
      <c r="C13" s="31">
        <v>999600</v>
      </c>
      <c r="D13" s="31">
        <v>999600</v>
      </c>
    </row>
    <row r="14" spans="1:4" ht="14.25" hidden="1">
      <c r="A14" s="31">
        <v>2020</v>
      </c>
      <c r="B14" s="31">
        <v>0</v>
      </c>
      <c r="C14" s="31">
        <v>550800</v>
      </c>
      <c r="D14" s="31">
        <v>550800</v>
      </c>
    </row>
    <row r="15" spans="1:4" ht="14.25" hidden="1">
      <c r="A15" s="31">
        <v>2021</v>
      </c>
      <c r="B15" s="31">
        <v>0</v>
      </c>
      <c r="C15" s="31">
        <v>163200</v>
      </c>
      <c r="D15" s="31">
        <v>163200</v>
      </c>
    </row>
    <row r="16" spans="1:4" ht="14.25" hidden="1">
      <c r="A16" s="31">
        <v>2022</v>
      </c>
      <c r="B16" s="31">
        <v>0</v>
      </c>
      <c r="C16" s="31">
        <v>0</v>
      </c>
      <c r="D16" s="31">
        <v>0</v>
      </c>
    </row>
    <row r="17" spans="1:4" ht="14.25" hidden="1">
      <c r="A17" s="31">
        <v>2023</v>
      </c>
      <c r="B17" s="31">
        <v>0</v>
      </c>
      <c r="C17" s="31">
        <v>0</v>
      </c>
      <c r="D17" s="31">
        <v>0</v>
      </c>
    </row>
    <row r="18" spans="1:4" ht="14.25" hidden="1">
      <c r="A18" s="31">
        <v>2024</v>
      </c>
      <c r="B18" s="31">
        <v>0</v>
      </c>
      <c r="C18" s="31">
        <v>0</v>
      </c>
      <c r="D18" s="31">
        <v>0</v>
      </c>
    </row>
    <row r="19" spans="1:4" ht="14.25" hidden="1">
      <c r="A19" s="31">
        <v>2025</v>
      </c>
      <c r="B19" s="31">
        <v>0</v>
      </c>
      <c r="C19" s="31">
        <v>0</v>
      </c>
      <c r="D19" s="31">
        <v>0</v>
      </c>
    </row>
    <row r="20" spans="2:4" ht="14.25" hidden="1">
      <c r="B20" s="48">
        <f>SUM(B3:B19)</f>
        <v>5970217.3149999995</v>
      </c>
      <c r="C20" s="48">
        <f>SUM(C3:C19)</f>
        <v>5970217.54</v>
      </c>
      <c r="D20" s="48">
        <f>SUM(D3:D19)</f>
        <v>5970217.54</v>
      </c>
    </row>
    <row r="21" spans="1:3" ht="18" customHeight="1">
      <c r="A21" s="377" t="s">
        <v>80</v>
      </c>
      <c r="B21" s="377"/>
      <c r="C21" s="377"/>
    </row>
    <row r="22" spans="1:3" ht="14.25">
      <c r="A22" s="42" t="s">
        <v>79</v>
      </c>
      <c r="B22" s="43" t="s">
        <v>113</v>
      </c>
      <c r="C22" s="37" t="s">
        <v>117</v>
      </c>
    </row>
    <row r="23" spans="1:3" ht="14.25">
      <c r="A23">
        <v>2009</v>
      </c>
      <c r="B23" s="44">
        <v>77641.528</v>
      </c>
      <c r="C23" s="44">
        <v>18598.63</v>
      </c>
    </row>
    <row r="24" spans="1:3" ht="14.25">
      <c r="A24">
        <v>2010</v>
      </c>
      <c r="B24" s="44">
        <v>68258.314</v>
      </c>
      <c r="C24" s="44">
        <v>69703.65</v>
      </c>
    </row>
    <row r="25" spans="1:3" ht="14.25">
      <c r="A25">
        <v>2011</v>
      </c>
      <c r="B25" s="44">
        <v>53654.403</v>
      </c>
      <c r="C25" s="44">
        <v>54643.39</v>
      </c>
    </row>
    <row r="26" spans="1:18" ht="14.25">
      <c r="A26">
        <v>2012</v>
      </c>
      <c r="B26" s="44">
        <v>279384.54</v>
      </c>
      <c r="C26" s="44">
        <v>85424.11</v>
      </c>
      <c r="D26" s="38">
        <v>228369.77999999997</v>
      </c>
      <c r="E26" s="38">
        <v>228369.77999999997</v>
      </c>
      <c r="F26" s="38">
        <v>383114</v>
      </c>
      <c r="G26" s="38">
        <v>652462.1</v>
      </c>
      <c r="H26" s="38">
        <v>1028142</v>
      </c>
      <c r="I26" s="38">
        <v>1114513</v>
      </c>
      <c r="J26" s="38">
        <v>1042117</v>
      </c>
      <c r="K26" s="38">
        <v>817700</v>
      </c>
      <c r="L26" s="38">
        <v>550800</v>
      </c>
      <c r="M26" s="38">
        <v>102000</v>
      </c>
      <c r="N26" s="38">
        <v>51000</v>
      </c>
      <c r="O26" s="38">
        <v>0</v>
      </c>
      <c r="P26" s="38">
        <v>0</v>
      </c>
      <c r="Q26" s="38">
        <v>0</v>
      </c>
      <c r="R26" s="38">
        <v>0</v>
      </c>
    </row>
    <row r="27" spans="1:14" ht="14.25">
      <c r="A27">
        <v>2013</v>
      </c>
      <c r="B27" s="44">
        <v>680107.63</v>
      </c>
      <c r="C27" s="44">
        <v>383114</v>
      </c>
      <c r="D27" s="38">
        <v>383114</v>
      </c>
      <c r="E27" s="38">
        <f aca="true" t="shared" si="1" ref="E27:N27">E26*1000</f>
        <v>228369779.99999997</v>
      </c>
      <c r="F27" s="38">
        <f t="shared" si="1"/>
        <v>383114000</v>
      </c>
      <c r="G27" s="38">
        <f t="shared" si="1"/>
        <v>652462100</v>
      </c>
      <c r="H27" s="38">
        <f t="shared" si="1"/>
        <v>1028142000</v>
      </c>
      <c r="I27" s="38">
        <f t="shared" si="1"/>
        <v>1114513000</v>
      </c>
      <c r="J27" s="38">
        <f t="shared" si="1"/>
        <v>1042117000</v>
      </c>
      <c r="K27" s="38">
        <f t="shared" si="1"/>
        <v>817700000</v>
      </c>
      <c r="L27" s="38">
        <f t="shared" si="1"/>
        <v>550800000</v>
      </c>
      <c r="M27" s="38">
        <f t="shared" si="1"/>
        <v>102000000</v>
      </c>
      <c r="N27" s="38">
        <f t="shared" si="1"/>
        <v>51000000</v>
      </c>
    </row>
    <row r="28" spans="1:4" ht="14.25">
      <c r="A28">
        <v>2014</v>
      </c>
      <c r="B28" s="44">
        <v>1241170.9</v>
      </c>
      <c r="C28" s="44">
        <v>652462.1</v>
      </c>
      <c r="D28" s="38">
        <v>652462.1</v>
      </c>
    </row>
    <row r="29" spans="1:4" ht="14.25">
      <c r="A29">
        <v>2015</v>
      </c>
      <c r="B29" s="44">
        <v>1020000</v>
      </c>
      <c r="C29" s="44">
        <v>1028142</v>
      </c>
      <c r="D29" s="38">
        <v>1028142</v>
      </c>
    </row>
    <row r="30" spans="1:4" ht="14.25">
      <c r="A30">
        <v>2016</v>
      </c>
      <c r="B30" s="44">
        <v>1020000</v>
      </c>
      <c r="C30" s="44">
        <v>1114513</v>
      </c>
      <c r="D30" s="38">
        <v>1114513</v>
      </c>
    </row>
    <row r="31" spans="1:4" ht="14.25">
      <c r="A31">
        <v>2017</v>
      </c>
      <c r="B31" s="44">
        <v>1020000</v>
      </c>
      <c r="C31" s="44">
        <v>1042117</v>
      </c>
      <c r="D31" s="38">
        <v>1042117</v>
      </c>
    </row>
    <row r="32" spans="1:4" ht="14.25">
      <c r="A32">
        <v>2018</v>
      </c>
      <c r="B32" s="44">
        <v>510000</v>
      </c>
      <c r="C32" s="44">
        <v>817700</v>
      </c>
      <c r="D32" s="38">
        <v>817700</v>
      </c>
    </row>
    <row r="33" spans="1:4" ht="14.25">
      <c r="A33">
        <v>2019</v>
      </c>
      <c r="B33" s="44">
        <v>0</v>
      </c>
      <c r="C33" s="44">
        <v>550800</v>
      </c>
      <c r="D33" s="38">
        <v>550800</v>
      </c>
    </row>
    <row r="34" spans="1:4" ht="14.25">
      <c r="A34">
        <v>2020</v>
      </c>
      <c r="B34" s="44">
        <v>0</v>
      </c>
      <c r="C34" s="44">
        <v>102000</v>
      </c>
      <c r="D34" s="38">
        <v>102000</v>
      </c>
    </row>
    <row r="35" spans="1:4" ht="14.25">
      <c r="A35">
        <v>2021</v>
      </c>
      <c r="B35" s="44">
        <v>0</v>
      </c>
      <c r="C35" s="44">
        <v>51000</v>
      </c>
      <c r="D35" s="38">
        <v>51000</v>
      </c>
    </row>
    <row r="36" spans="1:4" ht="14.25">
      <c r="A36">
        <v>2022</v>
      </c>
      <c r="B36" s="44">
        <v>0</v>
      </c>
      <c r="C36" s="44">
        <v>0</v>
      </c>
      <c r="D36" s="38">
        <v>0</v>
      </c>
    </row>
    <row r="37" spans="1:4" ht="14.25">
      <c r="A37">
        <v>2023</v>
      </c>
      <c r="B37" s="44">
        <v>0</v>
      </c>
      <c r="C37" s="44">
        <v>0</v>
      </c>
      <c r="D37" s="38">
        <v>0</v>
      </c>
    </row>
    <row r="38" spans="1:4" ht="14.25">
      <c r="A38">
        <v>2024</v>
      </c>
      <c r="B38" s="44">
        <v>0</v>
      </c>
      <c r="C38" s="44">
        <v>0</v>
      </c>
      <c r="D38" s="38">
        <v>0</v>
      </c>
    </row>
    <row r="39" spans="1:4" ht="14.25">
      <c r="A39">
        <v>2025</v>
      </c>
      <c r="B39" s="41">
        <v>0</v>
      </c>
      <c r="C39" s="41">
        <v>0</v>
      </c>
      <c r="D39" s="38">
        <v>0</v>
      </c>
    </row>
    <row r="40" spans="2:4" ht="14.25">
      <c r="B40" s="40">
        <f>SUM(B23:B39)</f>
        <v>5970217.3149999995</v>
      </c>
      <c r="C40" s="40">
        <f>SUM(C23:C39)</f>
        <v>5970217.88</v>
      </c>
      <c r="D40" s="38">
        <f>C40</f>
        <v>5970217.88</v>
      </c>
    </row>
    <row r="42" spans="1:3" ht="14.25" hidden="1">
      <c r="A42" s="377" t="s">
        <v>64</v>
      </c>
      <c r="B42" s="377"/>
      <c r="C42" s="377"/>
    </row>
    <row r="43" spans="1:3" ht="14.25" hidden="1">
      <c r="A43" s="31" t="s">
        <v>79</v>
      </c>
      <c r="B43" s="31" t="s">
        <v>113</v>
      </c>
      <c r="C43" s="31" t="s">
        <v>114</v>
      </c>
    </row>
    <row r="44" spans="1:3" ht="14.25" hidden="1">
      <c r="A44" s="31">
        <v>2009</v>
      </c>
      <c r="B44" s="32">
        <v>15755.167</v>
      </c>
      <c r="C44" s="31">
        <v>608.0696</v>
      </c>
    </row>
    <row r="45" spans="1:3" ht="14.25" hidden="1">
      <c r="A45" s="31">
        <v>2010</v>
      </c>
      <c r="B45" s="32">
        <v>35857.419</v>
      </c>
      <c r="C45" s="31">
        <v>11457.7</v>
      </c>
    </row>
    <row r="46" spans="1:3" ht="14.25" hidden="1">
      <c r="A46" s="31">
        <v>2011</v>
      </c>
      <c r="B46" s="32">
        <v>80949.72</v>
      </c>
      <c r="C46" s="31">
        <v>36591.21</v>
      </c>
    </row>
    <row r="47" spans="1:13" ht="14.25" hidden="1">
      <c r="A47" s="31">
        <v>2012</v>
      </c>
      <c r="B47" s="31">
        <v>56427.157</v>
      </c>
      <c r="C47" s="31">
        <v>59687.82</v>
      </c>
      <c r="D47" s="31">
        <v>108344.7996</v>
      </c>
      <c r="E47" s="31">
        <v>108344.7996</v>
      </c>
      <c r="F47" s="31">
        <v>80938.05</v>
      </c>
      <c r="G47" s="31">
        <v>129633.9</v>
      </c>
      <c r="H47" s="31">
        <v>266859.8</v>
      </c>
      <c r="I47" s="31">
        <v>345271.7</v>
      </c>
      <c r="J47" s="31">
        <v>300000</v>
      </c>
      <c r="K47" s="31">
        <v>300000</v>
      </c>
      <c r="L47" s="31">
        <v>300000</v>
      </c>
      <c r="M47" s="31">
        <v>300000</v>
      </c>
    </row>
    <row r="48" spans="1:13" ht="14.25" hidden="1">
      <c r="A48" s="31">
        <v>2013</v>
      </c>
      <c r="B48" s="31">
        <v>149223.84</v>
      </c>
      <c r="C48" s="31">
        <v>80938.05</v>
      </c>
      <c r="D48" s="31">
        <v>80938.05</v>
      </c>
      <c r="E48" s="31">
        <f>E47*1000</f>
        <v>108344799.6</v>
      </c>
      <c r="F48" s="31">
        <f aca="true" t="shared" si="2" ref="F48:M48">F47*1000</f>
        <v>80938050</v>
      </c>
      <c r="G48" s="31">
        <f t="shared" si="2"/>
        <v>129633900</v>
      </c>
      <c r="H48" s="31">
        <f t="shared" si="2"/>
        <v>266859800</v>
      </c>
      <c r="I48" s="31">
        <f t="shared" si="2"/>
        <v>345271700</v>
      </c>
      <c r="J48" s="31">
        <f t="shared" si="2"/>
        <v>300000000</v>
      </c>
      <c r="K48" s="31">
        <f t="shared" si="2"/>
        <v>300000000</v>
      </c>
      <c r="L48" s="31">
        <f t="shared" si="2"/>
        <v>300000000</v>
      </c>
      <c r="M48" s="31">
        <f t="shared" si="2"/>
        <v>300000000</v>
      </c>
    </row>
    <row r="49" spans="1:4" ht="14.25" hidden="1">
      <c r="A49" s="31">
        <v>2014</v>
      </c>
      <c r="B49" s="31">
        <v>318772.45</v>
      </c>
      <c r="C49" s="31">
        <v>129633.9</v>
      </c>
      <c r="D49" s="31">
        <v>129633.9</v>
      </c>
    </row>
    <row r="50" spans="1:4" ht="14.25" hidden="1">
      <c r="A50" s="31">
        <v>2015</v>
      </c>
      <c r="B50" s="31">
        <v>300000</v>
      </c>
      <c r="C50" s="31">
        <v>266859.8</v>
      </c>
      <c r="D50" s="31">
        <v>266859.8</v>
      </c>
    </row>
    <row r="51" spans="1:4" ht="14.25" hidden="1">
      <c r="A51" s="31">
        <v>2016</v>
      </c>
      <c r="B51" s="31">
        <v>300000</v>
      </c>
      <c r="C51" s="31">
        <v>345271.7</v>
      </c>
      <c r="D51" s="31">
        <v>345271.7</v>
      </c>
    </row>
    <row r="52" spans="1:4" ht="14.25" hidden="1">
      <c r="A52" s="31">
        <v>2017</v>
      </c>
      <c r="B52" s="31">
        <v>300000</v>
      </c>
      <c r="C52" s="31">
        <v>300000</v>
      </c>
      <c r="D52" s="31">
        <v>300000</v>
      </c>
    </row>
    <row r="53" spans="1:4" ht="14.25" hidden="1">
      <c r="A53" s="31">
        <v>2018</v>
      </c>
      <c r="B53" s="31">
        <v>300000</v>
      </c>
      <c r="C53" s="31">
        <v>300000</v>
      </c>
      <c r="D53" s="31">
        <v>300000</v>
      </c>
    </row>
    <row r="54" spans="1:4" ht="14.25" hidden="1">
      <c r="A54" s="31">
        <v>2019</v>
      </c>
      <c r="B54" s="31">
        <v>300000</v>
      </c>
      <c r="C54" s="31">
        <v>300000</v>
      </c>
      <c r="D54" s="31">
        <v>300000</v>
      </c>
    </row>
    <row r="55" spans="1:4" ht="14.25" hidden="1">
      <c r="A55" s="31">
        <v>2020</v>
      </c>
      <c r="B55" s="31">
        <v>300000</v>
      </c>
      <c r="C55" s="31">
        <v>300000</v>
      </c>
      <c r="D55" s="31">
        <v>300000</v>
      </c>
    </row>
    <row r="56" spans="1:4" ht="14.25" hidden="1">
      <c r="A56" s="31">
        <v>2021</v>
      </c>
      <c r="B56" s="31">
        <v>25000</v>
      </c>
      <c r="C56" s="31">
        <v>241250</v>
      </c>
      <c r="D56" s="31">
        <v>241250</v>
      </c>
    </row>
    <row r="57" spans="1:4" ht="14.25" hidden="1">
      <c r="A57" s="31">
        <v>2022</v>
      </c>
      <c r="B57" s="31">
        <v>0</v>
      </c>
      <c r="C57" s="31">
        <v>106875</v>
      </c>
      <c r="D57" s="31">
        <v>106875</v>
      </c>
    </row>
    <row r="58" spans="1:4" ht="14.25" hidden="1">
      <c r="A58" s="31">
        <v>2023</v>
      </c>
      <c r="B58" s="31">
        <v>0</v>
      </c>
      <c r="C58" s="31">
        <v>2812.5</v>
      </c>
      <c r="D58" s="31">
        <v>2812.5</v>
      </c>
    </row>
    <row r="59" spans="1:4" ht="14.25" hidden="1">
      <c r="A59" s="31">
        <v>2024</v>
      </c>
      <c r="B59" s="31">
        <v>0</v>
      </c>
      <c r="C59" s="31">
        <v>0</v>
      </c>
      <c r="D59" s="31">
        <v>0</v>
      </c>
    </row>
    <row r="60" spans="1:4" ht="14.25" hidden="1">
      <c r="A60" s="31">
        <v>2025</v>
      </c>
      <c r="B60" s="31">
        <v>0</v>
      </c>
      <c r="C60" s="31">
        <v>0</v>
      </c>
      <c r="D60" s="31">
        <v>0</v>
      </c>
    </row>
    <row r="61" spans="2:3" ht="14.25">
      <c r="B61" s="32"/>
      <c r="C61" s="32"/>
    </row>
    <row r="62" spans="1:3" ht="14.25">
      <c r="A62" s="378" t="s">
        <v>64</v>
      </c>
      <c r="B62" s="378"/>
      <c r="C62" s="378"/>
    </row>
    <row r="63" spans="1:3" ht="14.25">
      <c r="A63" s="42" t="s">
        <v>79</v>
      </c>
      <c r="B63" s="42" t="s">
        <v>113</v>
      </c>
      <c r="C63" s="42" t="s">
        <v>116</v>
      </c>
    </row>
    <row r="64" spans="1:3" ht="14.25">
      <c r="A64">
        <v>2009</v>
      </c>
      <c r="B64" s="41">
        <v>15755.167</v>
      </c>
      <c r="C64" s="41">
        <v>426.6943</v>
      </c>
    </row>
    <row r="65" spans="1:3" ht="14.25">
      <c r="A65">
        <v>2010</v>
      </c>
      <c r="B65" s="41">
        <v>35857.419</v>
      </c>
      <c r="C65" s="41">
        <v>9941.568</v>
      </c>
    </row>
    <row r="66" spans="1:3" ht="14.25">
      <c r="A66">
        <v>2011</v>
      </c>
      <c r="B66" s="41">
        <v>80949.72</v>
      </c>
      <c r="C66" s="41">
        <v>33285.52</v>
      </c>
    </row>
    <row r="67" spans="1:18" ht="14.25">
      <c r="A67">
        <v>2012</v>
      </c>
      <c r="B67" s="41">
        <v>56427.157</v>
      </c>
      <c r="C67" s="41">
        <v>54248.8</v>
      </c>
      <c r="D67" s="38">
        <v>97902.5823</v>
      </c>
      <c r="E67" s="38">
        <v>97902.5823</v>
      </c>
      <c r="F67" s="38">
        <v>81865.95</v>
      </c>
      <c r="G67" s="38">
        <v>117536.4</v>
      </c>
      <c r="H67" s="38">
        <v>283999.9</v>
      </c>
      <c r="I67" s="38">
        <v>349743.4</v>
      </c>
      <c r="J67" s="38">
        <v>300000</v>
      </c>
      <c r="K67" s="38">
        <v>300000</v>
      </c>
      <c r="L67" s="38">
        <v>300000</v>
      </c>
      <c r="M67" s="38">
        <v>300000</v>
      </c>
      <c r="N67" s="38">
        <v>241250</v>
      </c>
      <c r="O67" s="38">
        <v>106875</v>
      </c>
      <c r="P67" s="38">
        <v>2812.5</v>
      </c>
      <c r="Q67" s="38">
        <v>0</v>
      </c>
      <c r="R67" s="38">
        <v>0</v>
      </c>
    </row>
    <row r="68" spans="1:16" ht="14.25">
      <c r="A68">
        <v>2013</v>
      </c>
      <c r="B68" s="41">
        <v>149223.84</v>
      </c>
      <c r="C68" s="41">
        <v>81865.95</v>
      </c>
      <c r="D68" s="38">
        <v>81865.95</v>
      </c>
      <c r="E68" s="38">
        <f>E67*1000</f>
        <v>97902582.3</v>
      </c>
      <c r="F68" s="38">
        <f aca="true" t="shared" si="3" ref="F68:P68">F67*1000</f>
        <v>81865950</v>
      </c>
      <c r="G68" s="38">
        <f t="shared" si="3"/>
        <v>117536400</v>
      </c>
      <c r="H68" s="38">
        <f t="shared" si="3"/>
        <v>283999900</v>
      </c>
      <c r="I68" s="38">
        <f t="shared" si="3"/>
        <v>349743400</v>
      </c>
      <c r="J68" s="38">
        <f t="shared" si="3"/>
        <v>300000000</v>
      </c>
      <c r="K68" s="38">
        <f t="shared" si="3"/>
        <v>300000000</v>
      </c>
      <c r="L68" s="38">
        <f t="shared" si="3"/>
        <v>300000000</v>
      </c>
      <c r="M68" s="38">
        <f t="shared" si="3"/>
        <v>300000000</v>
      </c>
      <c r="N68" s="38">
        <f t="shared" si="3"/>
        <v>241250000</v>
      </c>
      <c r="O68" s="38">
        <f t="shared" si="3"/>
        <v>106875000</v>
      </c>
      <c r="P68" s="38">
        <f t="shared" si="3"/>
        <v>2812500</v>
      </c>
    </row>
    <row r="69" spans="1:4" ht="14.25">
      <c r="A69">
        <v>2014</v>
      </c>
      <c r="B69" s="41">
        <v>318772.45</v>
      </c>
      <c r="C69" s="41">
        <v>117536.4</v>
      </c>
      <c r="D69" s="38">
        <v>117536.4</v>
      </c>
    </row>
    <row r="70" spans="1:4" ht="14.25">
      <c r="A70">
        <v>2015</v>
      </c>
      <c r="B70" s="41">
        <v>300000</v>
      </c>
      <c r="C70" s="41">
        <v>283999.9</v>
      </c>
      <c r="D70" s="38">
        <v>283999.9</v>
      </c>
    </row>
    <row r="71" spans="1:4" ht="14.25">
      <c r="A71">
        <v>2016</v>
      </c>
      <c r="B71" s="41">
        <v>300000</v>
      </c>
      <c r="C71" s="41">
        <v>349743.4</v>
      </c>
      <c r="D71" s="38">
        <v>349743.4</v>
      </c>
    </row>
    <row r="72" spans="1:4" ht="14.25">
      <c r="A72">
        <v>2017</v>
      </c>
      <c r="B72" s="41">
        <v>300000</v>
      </c>
      <c r="C72" s="41">
        <v>300000</v>
      </c>
      <c r="D72" s="38">
        <v>300000</v>
      </c>
    </row>
    <row r="73" spans="1:4" ht="14.25">
      <c r="A73">
        <v>2018</v>
      </c>
      <c r="B73" s="41">
        <v>300000</v>
      </c>
      <c r="C73" s="41">
        <v>300000</v>
      </c>
      <c r="D73" s="38">
        <v>300000</v>
      </c>
    </row>
    <row r="74" spans="1:4" ht="14.25">
      <c r="A74">
        <v>2019</v>
      </c>
      <c r="B74" s="41">
        <v>300000</v>
      </c>
      <c r="C74" s="41">
        <v>300000</v>
      </c>
      <c r="D74" s="38">
        <v>300000</v>
      </c>
    </row>
    <row r="75" spans="1:4" ht="14.25">
      <c r="A75">
        <v>2020</v>
      </c>
      <c r="B75" s="41">
        <v>300000</v>
      </c>
      <c r="C75" s="41">
        <v>300000</v>
      </c>
      <c r="D75" s="38">
        <v>300000</v>
      </c>
    </row>
    <row r="76" spans="1:4" ht="14.25">
      <c r="A76">
        <v>2021</v>
      </c>
      <c r="B76" s="41">
        <v>25000</v>
      </c>
      <c r="C76" s="41">
        <v>241250</v>
      </c>
      <c r="D76" s="38">
        <v>241250</v>
      </c>
    </row>
    <row r="77" spans="1:4" ht="14.25">
      <c r="A77">
        <v>2022</v>
      </c>
      <c r="B77" s="41">
        <v>0</v>
      </c>
      <c r="C77" s="41">
        <v>106875</v>
      </c>
      <c r="D77" s="38">
        <v>106875</v>
      </c>
    </row>
    <row r="78" spans="1:4" ht="14.25">
      <c r="A78">
        <v>2023</v>
      </c>
      <c r="B78" s="41">
        <v>0</v>
      </c>
      <c r="C78" s="41">
        <v>2812.5</v>
      </c>
      <c r="D78" s="38">
        <v>2812.5</v>
      </c>
    </row>
    <row r="79" spans="1:4" ht="14.25">
      <c r="A79">
        <v>2024</v>
      </c>
      <c r="B79" s="41">
        <v>0</v>
      </c>
      <c r="C79" s="41">
        <v>0</v>
      </c>
      <c r="D79" s="38">
        <v>0</v>
      </c>
    </row>
    <row r="80" spans="1:4" ht="14.25">
      <c r="A80">
        <v>2025</v>
      </c>
      <c r="B80" s="41">
        <v>0</v>
      </c>
      <c r="C80" s="41">
        <v>0</v>
      </c>
      <c r="D80" s="38">
        <v>0</v>
      </c>
    </row>
    <row r="81" spans="2:4" ht="14.25">
      <c r="B81" s="38">
        <f>SUM(B64:B80)</f>
        <v>2481985.753</v>
      </c>
      <c r="C81" s="38">
        <f>SUM(C64:C80)</f>
        <v>2481985.7323000003</v>
      </c>
      <c r="D81" s="38">
        <v>2481985.7323000003</v>
      </c>
    </row>
    <row r="82" spans="2:3" ht="14.25">
      <c r="B82" s="32"/>
      <c r="C82" s="32"/>
    </row>
    <row r="84" spans="1:3" ht="14.25">
      <c r="A84" s="377" t="s">
        <v>74</v>
      </c>
      <c r="B84" s="377"/>
      <c r="C84" s="377"/>
    </row>
    <row r="85" spans="1:3" ht="14.25">
      <c r="A85" s="37" t="s">
        <v>79</v>
      </c>
      <c r="B85" s="37" t="s">
        <v>113</v>
      </c>
      <c r="C85" s="37" t="s">
        <v>114</v>
      </c>
    </row>
    <row r="86" spans="1:4" ht="14.25">
      <c r="A86" s="31">
        <v>2009</v>
      </c>
      <c r="B86" s="45">
        <v>1072.6614</v>
      </c>
      <c r="C86" s="45">
        <v>42.95972</v>
      </c>
      <c r="D86" s="36"/>
    </row>
    <row r="87" spans="1:4" ht="14.25">
      <c r="A87" s="31">
        <v>2010</v>
      </c>
      <c r="B87" s="45">
        <v>6247.4856</v>
      </c>
      <c r="C87" s="45">
        <v>1328.652</v>
      </c>
      <c r="D87" s="36"/>
    </row>
    <row r="88" spans="1:4" ht="14.25">
      <c r="A88" s="31">
        <v>2011</v>
      </c>
      <c r="B88" s="45">
        <v>10423.445</v>
      </c>
      <c r="C88" s="45">
        <v>5158.685</v>
      </c>
      <c r="D88" s="36"/>
    </row>
    <row r="89" spans="1:18" ht="14.25">
      <c r="A89" s="31">
        <v>2012</v>
      </c>
      <c r="B89" s="45">
        <v>50572.841</v>
      </c>
      <c r="C89" s="45">
        <v>9174.468</v>
      </c>
      <c r="D89" s="36">
        <v>15704.764720000001</v>
      </c>
      <c r="E89" s="45">
        <v>15704.764720000001</v>
      </c>
      <c r="F89" s="45">
        <v>30144.89</v>
      </c>
      <c r="G89" s="45">
        <v>33627.14</v>
      </c>
      <c r="H89" s="45">
        <v>68936.21</v>
      </c>
      <c r="I89" s="45">
        <v>106147.8</v>
      </c>
      <c r="J89" s="45">
        <v>72000</v>
      </c>
      <c r="K89" s="45">
        <v>72000</v>
      </c>
      <c r="L89" s="45">
        <v>62475</v>
      </c>
      <c r="M89" s="45">
        <v>31050</v>
      </c>
      <c r="N89" s="36"/>
      <c r="O89" s="36"/>
      <c r="P89" s="36"/>
      <c r="Q89" s="36"/>
      <c r="R89" s="36"/>
    </row>
    <row r="90" spans="1:13" ht="14.25">
      <c r="A90" s="31">
        <v>2013</v>
      </c>
      <c r="B90" s="45">
        <v>15253.045</v>
      </c>
      <c r="C90" s="45">
        <v>30144.89</v>
      </c>
      <c r="D90" s="36">
        <v>30144.89</v>
      </c>
      <c r="E90" s="44">
        <f aca="true" t="shared" si="4" ref="E90:M90">E89*1000</f>
        <v>15704764.72</v>
      </c>
      <c r="F90" s="44">
        <f t="shared" si="4"/>
        <v>30144890</v>
      </c>
      <c r="G90" s="44">
        <f t="shared" si="4"/>
        <v>33627140</v>
      </c>
      <c r="H90" s="44">
        <f t="shared" si="4"/>
        <v>68936210</v>
      </c>
      <c r="I90" s="44">
        <f t="shared" si="4"/>
        <v>106147800</v>
      </c>
      <c r="J90" s="44">
        <f t="shared" si="4"/>
        <v>72000000</v>
      </c>
      <c r="K90" s="44">
        <f t="shared" si="4"/>
        <v>72000000</v>
      </c>
      <c r="L90" s="44">
        <f t="shared" si="4"/>
        <v>62475000</v>
      </c>
      <c r="M90" s="44">
        <f t="shared" si="4"/>
        <v>31050000</v>
      </c>
    </row>
    <row r="91" spans="1:4" ht="14.25">
      <c r="A91" s="31">
        <v>2014</v>
      </c>
      <c r="B91" s="45">
        <v>105216.31</v>
      </c>
      <c r="C91" s="45">
        <v>33627.14</v>
      </c>
      <c r="D91" s="36">
        <v>33627.14</v>
      </c>
    </row>
    <row r="92" spans="1:4" ht="14.25">
      <c r="A92" s="31">
        <v>2015</v>
      </c>
      <c r="B92" s="45">
        <v>72000</v>
      </c>
      <c r="C92" s="45">
        <v>68936.21</v>
      </c>
      <c r="D92" s="36">
        <v>68936.21</v>
      </c>
    </row>
    <row r="93" spans="1:4" ht="14.25">
      <c r="A93" s="31">
        <v>2016</v>
      </c>
      <c r="B93" s="45">
        <v>72000</v>
      </c>
      <c r="C93" s="45">
        <v>106147.8</v>
      </c>
      <c r="D93" s="36">
        <v>106147.8</v>
      </c>
    </row>
    <row r="94" spans="1:4" ht="14.25">
      <c r="A94" s="31">
        <v>2017</v>
      </c>
      <c r="B94" s="45">
        <v>72000</v>
      </c>
      <c r="C94" s="45">
        <v>72000</v>
      </c>
      <c r="D94" s="36">
        <v>72000</v>
      </c>
    </row>
    <row r="95" spans="1:4" ht="14.25">
      <c r="A95" s="31">
        <v>2018</v>
      </c>
      <c r="B95" s="45">
        <v>72000</v>
      </c>
      <c r="C95" s="45">
        <v>72000</v>
      </c>
      <c r="D95" s="36">
        <v>72000</v>
      </c>
    </row>
    <row r="96" spans="1:4" ht="14.25">
      <c r="A96" s="31">
        <v>2019</v>
      </c>
      <c r="B96" s="45">
        <v>18000</v>
      </c>
      <c r="C96" s="45">
        <v>62475</v>
      </c>
      <c r="D96" s="36">
        <v>62475</v>
      </c>
    </row>
    <row r="97" spans="1:4" ht="14.25">
      <c r="A97" s="31">
        <v>2020</v>
      </c>
      <c r="B97" s="45">
        <v>0</v>
      </c>
      <c r="C97" s="45">
        <v>31050</v>
      </c>
      <c r="D97" s="36">
        <v>31050</v>
      </c>
    </row>
    <row r="98" spans="1:4" ht="14.25">
      <c r="A98" s="31">
        <v>2021</v>
      </c>
      <c r="B98" s="45">
        <v>0</v>
      </c>
      <c r="C98" s="45">
        <v>2700</v>
      </c>
      <c r="D98" s="36">
        <v>2700</v>
      </c>
    </row>
    <row r="99" spans="1:4" ht="14.25">
      <c r="A99" s="31">
        <v>2022</v>
      </c>
      <c r="B99" s="45">
        <v>0</v>
      </c>
      <c r="C99" s="45">
        <v>0</v>
      </c>
      <c r="D99" s="36">
        <v>0</v>
      </c>
    </row>
    <row r="100" spans="1:4" ht="14.25">
      <c r="A100" s="31">
        <v>2023</v>
      </c>
      <c r="B100" s="45">
        <v>0</v>
      </c>
      <c r="C100" s="45">
        <v>0</v>
      </c>
      <c r="D100" s="36">
        <v>0</v>
      </c>
    </row>
    <row r="101" spans="1:4" ht="14.25">
      <c r="A101" s="31">
        <v>2024</v>
      </c>
      <c r="B101" s="45">
        <v>0</v>
      </c>
      <c r="C101" s="45">
        <v>0</v>
      </c>
      <c r="D101" s="36">
        <v>0</v>
      </c>
    </row>
    <row r="102" spans="1:4" ht="14.25">
      <c r="A102" s="31">
        <v>2025</v>
      </c>
      <c r="B102" s="45">
        <v>0</v>
      </c>
      <c r="C102" s="45">
        <v>0</v>
      </c>
      <c r="D102" s="36">
        <v>0</v>
      </c>
    </row>
    <row r="103" spans="2:4" ht="14.25">
      <c r="B103" s="32">
        <f>SUM(B86:B102)</f>
        <v>494785.788</v>
      </c>
      <c r="C103" s="32">
        <f>SUM(C86:C102)</f>
        <v>494785.80472</v>
      </c>
      <c r="D103" s="32">
        <f>SUM(D86:D102)</f>
        <v>494785.80472</v>
      </c>
    </row>
    <row r="104" spans="1:3" ht="14.25">
      <c r="A104" s="377"/>
      <c r="B104" s="377"/>
      <c r="C104" s="377"/>
    </row>
    <row r="106" spans="3:5" ht="14.25">
      <c r="C106" s="44"/>
      <c r="D106" s="44"/>
      <c r="E106" s="44"/>
    </row>
    <row r="107" spans="3:5" ht="14.25">
      <c r="C107" s="44"/>
      <c r="D107" s="44"/>
      <c r="E107" s="44"/>
    </row>
    <row r="108" spans="3:5" ht="14.25">
      <c r="C108" s="44"/>
      <c r="D108" s="44"/>
      <c r="E108" s="44"/>
    </row>
    <row r="109" spans="3:5" ht="14.25">
      <c r="C109" s="44"/>
      <c r="D109" s="44"/>
      <c r="E109" s="44"/>
    </row>
    <row r="110" spans="3:5" ht="14.25">
      <c r="C110" s="44"/>
      <c r="D110" s="44"/>
      <c r="E110" s="44"/>
    </row>
    <row r="111" spans="3:5" ht="14.25">
      <c r="C111" s="44"/>
      <c r="D111" s="44"/>
      <c r="E111" s="44"/>
    </row>
    <row r="112" spans="3:5" ht="14.25">
      <c r="C112" s="44"/>
      <c r="D112" s="44"/>
      <c r="E112" s="44"/>
    </row>
    <row r="113" spans="3:5" ht="14.25">
      <c r="C113" s="44"/>
      <c r="D113" s="44"/>
      <c r="E113" s="44"/>
    </row>
    <row r="114" spans="3:5" ht="14.25">
      <c r="C114" s="44"/>
      <c r="D114" s="44"/>
      <c r="E114" s="44"/>
    </row>
    <row r="115" spans="3:5" ht="14.25">
      <c r="C115" s="44"/>
      <c r="D115" s="44"/>
      <c r="E115" s="44"/>
    </row>
    <row r="116" spans="3:5" ht="14.25">
      <c r="C116" s="44"/>
      <c r="D116" s="44"/>
      <c r="E116" s="44"/>
    </row>
    <row r="117" spans="3:5" ht="14.25">
      <c r="C117" s="44"/>
      <c r="D117" s="44"/>
      <c r="E117" s="44"/>
    </row>
    <row r="118" spans="3:5" ht="14.25">
      <c r="C118" s="44"/>
      <c r="D118" s="44"/>
      <c r="E118" s="44"/>
    </row>
    <row r="119" spans="3:5" ht="14.25">
      <c r="C119" s="44"/>
      <c r="D119" s="44"/>
      <c r="E119" s="44"/>
    </row>
    <row r="120" spans="3:5" ht="14.25">
      <c r="C120" s="44"/>
      <c r="D120" s="44"/>
      <c r="E120" s="44"/>
    </row>
    <row r="121" spans="3:5" ht="14.25">
      <c r="C121" s="44"/>
      <c r="D121" s="44"/>
      <c r="E121" s="44"/>
    </row>
    <row r="122" spans="3:5" ht="14.25">
      <c r="C122" s="44"/>
      <c r="D122" s="44"/>
      <c r="E122" s="44"/>
    </row>
    <row r="123" spans="4:5" ht="14.25">
      <c r="D123" s="44"/>
      <c r="E123" s="46"/>
    </row>
  </sheetData>
  <sheetProtection/>
  <mergeCells count="6">
    <mergeCell ref="A1:C1"/>
    <mergeCell ref="A42:C42"/>
    <mergeCell ref="A84:C84"/>
    <mergeCell ref="A104:C104"/>
    <mergeCell ref="A21:C21"/>
    <mergeCell ref="A62:C6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U18"/>
  <sheetViews>
    <sheetView zoomScalePageLayoutView="0" workbookViewId="0" topLeftCell="A1">
      <selection activeCell="A1" sqref="A1:U1"/>
    </sheetView>
  </sheetViews>
  <sheetFormatPr defaultColWidth="11.421875" defaultRowHeight="15"/>
  <cols>
    <col min="1" max="1" width="13.421875" style="5" customWidth="1"/>
    <col min="2" max="2" width="11.8515625" style="5" customWidth="1"/>
    <col min="3" max="3" width="19.8515625" style="9" customWidth="1"/>
    <col min="4" max="4" width="18.140625" style="9" customWidth="1"/>
    <col min="5" max="7" width="15.7109375" style="10" customWidth="1"/>
    <col min="8" max="9" width="15.7109375" style="5" customWidth="1"/>
    <col min="10" max="10" width="17.140625" style="5" customWidth="1"/>
    <col min="11" max="15" width="15.7109375" style="5" customWidth="1"/>
    <col min="16" max="16" width="17.00390625" style="5" customWidth="1"/>
    <col min="17" max="21" width="15.7109375" style="5" customWidth="1"/>
    <col min="22" max="16384" width="11.421875" style="5" customWidth="1"/>
  </cols>
  <sheetData>
    <row r="1" spans="1:21" ht="53.25" customHeight="1">
      <c r="A1" s="334" t="s">
        <v>126</v>
      </c>
      <c r="B1" s="334"/>
      <c r="C1" s="334"/>
      <c r="D1" s="334"/>
      <c r="E1" s="334"/>
      <c r="F1" s="334"/>
      <c r="G1" s="334"/>
      <c r="H1" s="334"/>
      <c r="I1" s="334"/>
      <c r="J1" s="334"/>
      <c r="K1" s="334"/>
      <c r="L1" s="334"/>
      <c r="M1" s="334"/>
      <c r="N1" s="334"/>
      <c r="O1" s="334"/>
      <c r="P1" s="334"/>
      <c r="Q1" s="334"/>
      <c r="R1" s="334"/>
      <c r="S1" s="334"/>
      <c r="T1" s="334"/>
      <c r="U1" s="334"/>
    </row>
    <row r="2" spans="1:21" ht="28.5" customHeight="1">
      <c r="A2" s="309" t="s">
        <v>127</v>
      </c>
      <c r="B2" s="309"/>
      <c r="C2" s="309"/>
      <c r="D2" s="313" t="s">
        <v>80</v>
      </c>
      <c r="E2" s="314"/>
      <c r="F2" s="314"/>
      <c r="G2" s="314"/>
      <c r="H2" s="314"/>
      <c r="I2" s="314"/>
      <c r="J2" s="313" t="s">
        <v>64</v>
      </c>
      <c r="K2" s="314"/>
      <c r="L2" s="314"/>
      <c r="M2" s="314"/>
      <c r="N2" s="314"/>
      <c r="O2" s="314"/>
      <c r="P2" s="313" t="s">
        <v>74</v>
      </c>
      <c r="Q2" s="314"/>
      <c r="R2" s="314"/>
      <c r="S2" s="314"/>
      <c r="T2" s="314"/>
      <c r="U2" s="315"/>
    </row>
    <row r="3" spans="1:21" ht="31.5" customHeight="1">
      <c r="A3" s="309"/>
      <c r="B3" s="309"/>
      <c r="C3" s="309"/>
      <c r="D3" s="6" t="s">
        <v>81</v>
      </c>
      <c r="E3" s="6" t="s">
        <v>85</v>
      </c>
      <c r="F3" s="6">
        <v>2013</v>
      </c>
      <c r="G3" s="6">
        <v>2014</v>
      </c>
      <c r="H3" s="6">
        <v>2015</v>
      </c>
      <c r="I3" s="6">
        <v>2016</v>
      </c>
      <c r="J3" s="6" t="s">
        <v>81</v>
      </c>
      <c r="K3" s="6" t="s">
        <v>85</v>
      </c>
      <c r="L3" s="6">
        <v>2013</v>
      </c>
      <c r="M3" s="6">
        <v>2014</v>
      </c>
      <c r="N3" s="6">
        <v>2015</v>
      </c>
      <c r="O3" s="6">
        <v>2016</v>
      </c>
      <c r="P3" s="6" t="s">
        <v>81</v>
      </c>
      <c r="Q3" s="6" t="s">
        <v>85</v>
      </c>
      <c r="R3" s="6">
        <v>2013</v>
      </c>
      <c r="S3" s="6">
        <v>2014</v>
      </c>
      <c r="T3" s="6">
        <v>2015</v>
      </c>
      <c r="U3" s="6">
        <v>2016</v>
      </c>
    </row>
    <row r="4" spans="1:21" ht="72.75" customHeight="1">
      <c r="A4" s="303" t="s">
        <v>82</v>
      </c>
      <c r="B4" s="307" t="s">
        <v>83</v>
      </c>
      <c r="C4" s="11" t="s">
        <v>84</v>
      </c>
      <c r="D4" s="24">
        <f aca="true" t="shared" si="0" ref="D4:D15">SUM(E4:I4)</f>
        <v>133933072.31</v>
      </c>
      <c r="E4" s="18">
        <v>133933072.31</v>
      </c>
      <c r="F4" s="18"/>
      <c r="G4" s="18"/>
      <c r="H4" s="19"/>
      <c r="I4" s="19"/>
      <c r="J4" s="24">
        <f aca="true" t="shared" si="1" ref="J4:J15">SUM(K4:O4)</f>
        <v>105523901.8</v>
      </c>
      <c r="K4" s="18">
        <v>105523901.8</v>
      </c>
      <c r="L4" s="18"/>
      <c r="M4" s="18"/>
      <c r="N4" s="19"/>
      <c r="O4" s="19"/>
      <c r="P4" s="24">
        <f aca="true" t="shared" si="2" ref="P4:P15">SUM(Q4:U4)</f>
        <v>17999904.31</v>
      </c>
      <c r="Q4" s="18">
        <v>17999904.31</v>
      </c>
      <c r="R4" s="18"/>
      <c r="S4" s="18"/>
      <c r="T4" s="19"/>
      <c r="U4" s="19"/>
    </row>
    <row r="5" spans="1:21" ht="21.75" customHeight="1">
      <c r="A5" s="303"/>
      <c r="B5" s="307"/>
      <c r="C5" s="15" t="s">
        <v>86</v>
      </c>
      <c r="D5" s="24">
        <f t="shared" si="0"/>
        <v>210974187.69</v>
      </c>
      <c r="E5" s="18">
        <v>210974187.69</v>
      </c>
      <c r="F5" s="18"/>
      <c r="G5" s="18"/>
      <c r="H5" s="19"/>
      <c r="I5" s="19"/>
      <c r="J5" s="24">
        <f t="shared" si="1"/>
        <v>123905475.31</v>
      </c>
      <c r="K5" s="18">
        <v>123905475.31</v>
      </c>
      <c r="L5" s="18"/>
      <c r="M5" s="18"/>
      <c r="N5" s="19"/>
      <c r="O5" s="19"/>
      <c r="P5" s="24">
        <f t="shared" si="2"/>
        <v>10000000</v>
      </c>
      <c r="Q5" s="18">
        <v>10000000</v>
      </c>
      <c r="R5" s="27"/>
      <c r="S5" s="27"/>
      <c r="T5" s="12"/>
      <c r="U5" s="12"/>
    </row>
    <row r="6" spans="1:21" ht="22.5" customHeight="1">
      <c r="A6" s="303"/>
      <c r="B6" s="307"/>
      <c r="C6" s="15" t="s">
        <v>87</v>
      </c>
      <c r="D6" s="24">
        <f t="shared" si="0"/>
        <v>985000000</v>
      </c>
      <c r="E6" s="18"/>
      <c r="F6" s="18">
        <v>660000000</v>
      </c>
      <c r="G6" s="18">
        <v>167000000</v>
      </c>
      <c r="H6" s="18">
        <v>158000000</v>
      </c>
      <c r="I6" s="20"/>
      <c r="J6" s="24">
        <f t="shared" si="1"/>
        <v>401194895.13</v>
      </c>
      <c r="K6" s="18"/>
      <c r="L6" s="18">
        <v>270000000</v>
      </c>
      <c r="M6" s="18">
        <v>99000000</v>
      </c>
      <c r="N6" s="18">
        <v>32194895.13</v>
      </c>
      <c r="O6" s="22"/>
      <c r="P6" s="24">
        <f t="shared" si="2"/>
        <v>55000000</v>
      </c>
      <c r="Q6" s="18"/>
      <c r="R6" s="27">
        <v>40000000</v>
      </c>
      <c r="S6" s="28">
        <v>10000000</v>
      </c>
      <c r="T6" s="28">
        <v>5000000</v>
      </c>
      <c r="U6" s="13"/>
    </row>
    <row r="7" spans="1:21" ht="24.75" customHeight="1">
      <c r="A7" s="335" t="s">
        <v>88</v>
      </c>
      <c r="B7" s="337" t="s">
        <v>89</v>
      </c>
      <c r="C7" s="15" t="s">
        <v>109</v>
      </c>
      <c r="D7" s="24">
        <f t="shared" si="0"/>
        <v>114483474</v>
      </c>
      <c r="E7" s="18"/>
      <c r="F7" s="18"/>
      <c r="G7" s="18">
        <v>114483474</v>
      </c>
      <c r="H7" s="19"/>
      <c r="I7" s="19"/>
      <c r="J7" s="24">
        <f t="shared" si="1"/>
        <v>0</v>
      </c>
      <c r="K7" s="18"/>
      <c r="L7" s="18"/>
      <c r="M7" s="18"/>
      <c r="N7" s="19"/>
      <c r="O7" s="19"/>
      <c r="P7" s="24">
        <f t="shared" si="2"/>
        <v>0</v>
      </c>
      <c r="Q7" s="18"/>
      <c r="R7" s="27"/>
      <c r="S7" s="27"/>
      <c r="T7" s="12"/>
      <c r="U7" s="12"/>
    </row>
    <row r="8" spans="1:21" ht="20.25" customHeight="1">
      <c r="A8" s="336"/>
      <c r="B8" s="338"/>
      <c r="C8" s="15" t="s">
        <v>108</v>
      </c>
      <c r="D8" s="24">
        <f t="shared" si="0"/>
        <v>228966948</v>
      </c>
      <c r="E8" s="18"/>
      <c r="F8" s="18"/>
      <c r="G8" s="18"/>
      <c r="H8" s="18">
        <v>114483474</v>
      </c>
      <c r="I8" s="18">
        <v>114483474</v>
      </c>
      <c r="J8" s="24">
        <f t="shared" si="1"/>
        <v>0</v>
      </c>
      <c r="K8" s="18"/>
      <c r="L8" s="18"/>
      <c r="M8" s="18"/>
      <c r="N8" s="18"/>
      <c r="O8" s="18"/>
      <c r="P8" s="24">
        <f t="shared" si="2"/>
        <v>11240400</v>
      </c>
      <c r="Q8" s="18"/>
      <c r="R8" s="27"/>
      <c r="S8" s="28">
        <v>5620200</v>
      </c>
      <c r="T8" s="28">
        <v>5620200</v>
      </c>
      <c r="U8" s="27"/>
    </row>
    <row r="9" spans="1:21" ht="30.75" customHeight="1">
      <c r="A9" s="336"/>
      <c r="B9" s="338"/>
      <c r="C9" s="15" t="s">
        <v>110</v>
      </c>
      <c r="D9" s="24">
        <f t="shared" si="0"/>
        <v>0</v>
      </c>
      <c r="E9" s="18"/>
      <c r="F9" s="18"/>
      <c r="G9" s="18"/>
      <c r="H9" s="18"/>
      <c r="I9" s="18"/>
      <c r="J9" s="24">
        <f t="shared" si="1"/>
        <v>135752420.92</v>
      </c>
      <c r="K9" s="18"/>
      <c r="L9" s="18"/>
      <c r="M9" s="29">
        <v>55982438.68</v>
      </c>
      <c r="N9" s="29">
        <v>23787543.56</v>
      </c>
      <c r="O9" s="29">
        <v>55982438.68</v>
      </c>
      <c r="P9" s="24">
        <f t="shared" si="2"/>
        <v>5620200</v>
      </c>
      <c r="Q9" s="18"/>
      <c r="R9" s="27"/>
      <c r="S9" s="28"/>
      <c r="T9" s="28"/>
      <c r="U9" s="28">
        <v>5620200</v>
      </c>
    </row>
    <row r="10" spans="1:21" ht="30.75" customHeight="1">
      <c r="A10" s="339"/>
      <c r="B10" s="340"/>
      <c r="C10" s="49" t="s">
        <v>128</v>
      </c>
      <c r="D10" s="24">
        <f t="shared" si="0"/>
        <v>0</v>
      </c>
      <c r="E10" s="18"/>
      <c r="F10" s="18"/>
      <c r="G10" s="18"/>
      <c r="H10" s="18"/>
      <c r="I10" s="18"/>
      <c r="J10" s="24" t="e">
        <f t="shared" si="1"/>
        <v>#REF!</v>
      </c>
      <c r="K10" s="18"/>
      <c r="L10" s="18"/>
      <c r="M10" s="50" t="e">
        <f>CIPETab2!#REF!</f>
        <v>#REF!</v>
      </c>
      <c r="N10" s="50" t="e">
        <f>CIPETab2!#REF!</f>
        <v>#REF!</v>
      </c>
      <c r="O10" s="50">
        <f>CIPETab2!D6</f>
        <v>67236326</v>
      </c>
      <c r="P10" s="24">
        <f t="shared" si="2"/>
        <v>0</v>
      </c>
      <c r="Q10" s="18"/>
      <c r="R10" s="27"/>
      <c r="S10" s="28"/>
      <c r="T10" s="28"/>
      <c r="U10" s="28"/>
    </row>
    <row r="11" spans="1:21" ht="30.75" customHeight="1">
      <c r="A11" s="341" t="s">
        <v>90</v>
      </c>
      <c r="B11" s="337" t="s">
        <v>91</v>
      </c>
      <c r="C11" s="15" t="s">
        <v>108</v>
      </c>
      <c r="D11" s="24">
        <f t="shared" si="0"/>
        <v>142525129</v>
      </c>
      <c r="E11" s="18"/>
      <c r="F11" s="21"/>
      <c r="G11" s="18">
        <v>142525129</v>
      </c>
      <c r="H11" s="18"/>
      <c r="I11" s="20"/>
      <c r="J11" s="24">
        <f t="shared" si="1"/>
        <v>0</v>
      </c>
      <c r="K11" s="18"/>
      <c r="L11" s="21"/>
      <c r="M11" s="18">
        <v>0</v>
      </c>
      <c r="N11" s="18"/>
      <c r="O11" s="20"/>
      <c r="P11" s="24">
        <f t="shared" si="2"/>
        <v>0</v>
      </c>
      <c r="Q11" s="18"/>
      <c r="R11" s="51"/>
      <c r="S11" s="27"/>
      <c r="T11" s="27"/>
      <c r="U11" s="13"/>
    </row>
    <row r="12" spans="1:21" ht="29.25" customHeight="1">
      <c r="A12" s="342"/>
      <c r="B12" s="338"/>
      <c r="C12" s="15" t="s">
        <v>110</v>
      </c>
      <c r="D12" s="24">
        <f t="shared" si="0"/>
        <v>269114280.65</v>
      </c>
      <c r="E12" s="18"/>
      <c r="F12" s="18"/>
      <c r="G12" s="18">
        <v>63294575.83000001</v>
      </c>
      <c r="H12" s="18">
        <v>205819704.82</v>
      </c>
      <c r="I12" s="20"/>
      <c r="J12" s="24">
        <f t="shared" si="1"/>
        <v>0</v>
      </c>
      <c r="K12" s="18"/>
      <c r="L12" s="18"/>
      <c r="M12" s="18">
        <v>0</v>
      </c>
      <c r="N12" s="19"/>
      <c r="O12" s="20"/>
      <c r="P12" s="24">
        <f t="shared" si="2"/>
        <v>26296655.64</v>
      </c>
      <c r="Q12" s="18"/>
      <c r="R12" s="18"/>
      <c r="S12" s="29">
        <v>13148327.82</v>
      </c>
      <c r="T12" s="29">
        <v>13148327.82</v>
      </c>
      <c r="U12" s="20"/>
    </row>
    <row r="13" spans="1:21" ht="29.25" customHeight="1">
      <c r="A13" s="379"/>
      <c r="B13" s="340"/>
      <c r="C13" s="49" t="s">
        <v>128</v>
      </c>
      <c r="D13" s="24" t="e">
        <f t="shared" si="0"/>
        <v>#REF!</v>
      </c>
      <c r="E13" s="18"/>
      <c r="F13" s="18"/>
      <c r="G13" s="50" t="e">
        <f>CIPETab2!#REF!</f>
        <v>#REF!</v>
      </c>
      <c r="H13" s="50" t="e">
        <f>CIPETab2!#REF!</f>
        <v>#REF!</v>
      </c>
      <c r="I13" s="20"/>
      <c r="J13" s="24">
        <f t="shared" si="1"/>
        <v>0</v>
      </c>
      <c r="K13" s="18"/>
      <c r="L13" s="18"/>
      <c r="M13" s="18">
        <v>0</v>
      </c>
      <c r="N13" s="19"/>
      <c r="O13" s="20"/>
      <c r="P13" s="24">
        <f t="shared" si="2"/>
        <v>0</v>
      </c>
      <c r="Q13" s="18"/>
      <c r="R13" s="18"/>
      <c r="T13" s="18"/>
      <c r="U13" s="20"/>
    </row>
    <row r="14" spans="1:21" ht="68.25" customHeight="1">
      <c r="A14" s="16" t="s">
        <v>105</v>
      </c>
      <c r="B14" s="7" t="s">
        <v>106</v>
      </c>
      <c r="C14" s="53" t="s">
        <v>129</v>
      </c>
      <c r="D14" s="24" t="e">
        <f t="shared" si="0"/>
        <v>#REF!</v>
      </c>
      <c r="E14" s="18"/>
      <c r="F14" s="18"/>
      <c r="G14" s="50" t="e">
        <f>CIPETab2!#REF!</f>
        <v>#REF!</v>
      </c>
      <c r="H14" s="19"/>
      <c r="I14" s="20"/>
      <c r="J14" s="24">
        <f t="shared" si="1"/>
        <v>0</v>
      </c>
      <c r="K14" s="18"/>
      <c r="L14" s="18"/>
      <c r="M14" s="18"/>
      <c r="N14" s="19"/>
      <c r="O14" s="20"/>
      <c r="P14" s="24" t="e">
        <f t="shared" si="2"/>
        <v>#REF!</v>
      </c>
      <c r="Q14" s="18"/>
      <c r="R14" s="18"/>
      <c r="S14" s="52" t="e">
        <f>CIPETab2!#REF!</f>
        <v>#REF!</v>
      </c>
      <c r="T14" s="19"/>
      <c r="U14" s="20"/>
    </row>
    <row r="15" spans="1:21" ht="59.25" customHeight="1">
      <c r="A15" s="16" t="s">
        <v>111</v>
      </c>
      <c r="B15" s="8" t="s">
        <v>130</v>
      </c>
      <c r="C15" s="53" t="s">
        <v>129</v>
      </c>
      <c r="D15" s="24">
        <f t="shared" si="0"/>
        <v>279702055.8904892</v>
      </c>
      <c r="E15" s="19"/>
      <c r="F15" s="19"/>
      <c r="G15" s="19"/>
      <c r="H15" s="50">
        <f>CIPETab2!E5</f>
        <v>177653472.90999997</v>
      </c>
      <c r="I15" s="50">
        <f>CIPETab2!F5</f>
        <v>102048582.98048928</v>
      </c>
      <c r="J15" s="24">
        <f t="shared" si="1"/>
        <v>0</v>
      </c>
      <c r="K15" s="19"/>
      <c r="L15" s="19"/>
      <c r="M15" s="19"/>
      <c r="N15" s="19"/>
      <c r="O15" s="50">
        <f>CIPETab2!F6</f>
        <v>0</v>
      </c>
      <c r="P15" s="24">
        <f t="shared" si="2"/>
        <v>46066805.019510716</v>
      </c>
      <c r="Q15" s="19"/>
      <c r="R15" s="19"/>
      <c r="S15" s="19"/>
      <c r="T15" s="19"/>
      <c r="U15" s="52">
        <f>CIPETab2!F7</f>
        <v>46066805.019510716</v>
      </c>
    </row>
    <row r="16" spans="1:21" ht="21.75" customHeight="1">
      <c r="A16" s="304" t="s">
        <v>81</v>
      </c>
      <c r="B16" s="304"/>
      <c r="C16" s="304"/>
      <c r="D16" s="26" t="e">
        <f aca="true" t="shared" si="3" ref="D16:O16">SUM(D4:D15)</f>
        <v>#REF!</v>
      </c>
      <c r="E16" s="26">
        <f t="shared" si="3"/>
        <v>344907260</v>
      </c>
      <c r="F16" s="26">
        <f t="shared" si="3"/>
        <v>660000000</v>
      </c>
      <c r="G16" s="26" t="e">
        <f t="shared" si="3"/>
        <v>#REF!</v>
      </c>
      <c r="H16" s="26" t="e">
        <f t="shared" si="3"/>
        <v>#REF!</v>
      </c>
      <c r="I16" s="26">
        <f t="shared" si="3"/>
        <v>216532056.98048928</v>
      </c>
      <c r="J16" s="25" t="e">
        <f t="shared" si="3"/>
        <v>#REF!</v>
      </c>
      <c r="K16" s="26">
        <f t="shared" si="3"/>
        <v>229429377.11</v>
      </c>
      <c r="L16" s="26">
        <f t="shared" si="3"/>
        <v>270000000</v>
      </c>
      <c r="M16" s="26" t="e">
        <f t="shared" si="3"/>
        <v>#REF!</v>
      </c>
      <c r="N16" s="26" t="e">
        <f t="shared" si="3"/>
        <v>#REF!</v>
      </c>
      <c r="O16" s="26">
        <f t="shared" si="3"/>
        <v>123218764.68</v>
      </c>
      <c r="P16" s="25">
        <v>186244073.93</v>
      </c>
      <c r="Q16" s="26">
        <f>SUM(Q4:Q15)</f>
        <v>27999904.31</v>
      </c>
      <c r="R16" s="26">
        <f>SUM(R4:R15)</f>
        <v>40000000</v>
      </c>
      <c r="S16" s="26" t="e">
        <f>SUM(S4:S15)</f>
        <v>#REF!</v>
      </c>
      <c r="T16" s="26">
        <f>SUM(T4:T15)</f>
        <v>23768527.82</v>
      </c>
      <c r="U16" s="26">
        <f>SUM(U4:U15)</f>
        <v>51687005.019510716</v>
      </c>
    </row>
    <row r="18" ht="13.5">
      <c r="D18" s="54"/>
    </row>
  </sheetData>
  <sheetProtection/>
  <mergeCells count="12">
    <mergeCell ref="A11:A13"/>
    <mergeCell ref="B11:B13"/>
    <mergeCell ref="A16:C16"/>
    <mergeCell ref="A1:U1"/>
    <mergeCell ref="A2:C3"/>
    <mergeCell ref="D2:I2"/>
    <mergeCell ref="J2:O2"/>
    <mergeCell ref="P2:U2"/>
    <mergeCell ref="A4:A6"/>
    <mergeCell ref="B4:B6"/>
    <mergeCell ref="A7:A10"/>
    <mergeCell ref="B7:B10"/>
  </mergeCells>
  <printOptions horizontalCentered="1"/>
  <pageMargins left="0.35433070866141736" right="0.2362204724409449" top="0.35433070866141736" bottom="0.4724409448818898" header="0.2755905511811024" footer="0.31496062992125984"/>
  <pageSetup fitToHeight="1" fitToWidth="1" horizontalDpi="1200" verticalDpi="1200" orientation="landscape"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A21"/>
  <sheetViews>
    <sheetView zoomScalePageLayoutView="0" workbookViewId="0" topLeftCell="A1">
      <selection activeCell="A1" sqref="A1"/>
    </sheetView>
  </sheetViews>
  <sheetFormatPr defaultColWidth="9.140625" defaultRowHeight="15"/>
  <cols>
    <col min="1" max="1" width="14.28125" style="0" bestFit="1" customWidth="1"/>
    <col min="2" max="2" width="19.57421875" style="0" bestFit="1" customWidth="1"/>
    <col min="3" max="3" width="15.421875" style="0" bestFit="1" customWidth="1"/>
    <col min="4" max="5" width="15.28125" style="0" bestFit="1" customWidth="1"/>
    <col min="6" max="6" width="14.28125" style="0" bestFit="1" customWidth="1"/>
    <col min="7" max="8" width="15.28125" style="0" bestFit="1" customWidth="1"/>
    <col min="9" max="10" width="14.28125" style="0" bestFit="1" customWidth="1"/>
  </cols>
  <sheetData>
    <row r="1" spans="1:27" ht="14.2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row>
    <row r="2" spans="1:27" ht="14.2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7" s="1" customFormat="1" ht="14.2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row>
    <row r="4" spans="1:27" ht="14.25">
      <c r="A4" s="38"/>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row>
    <row r="5" spans="2:27" ht="14.25">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row>
    <row r="6" spans="2:27" ht="14.25">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row>
    <row r="7" spans="2:27" ht="14.25">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row>
    <row r="8" spans="2:27" ht="14.25">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row>
    <row r="9" spans="2:27" ht="14.25">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row>
    <row r="10" spans="2:27" ht="14.25">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row>
    <row r="11" spans="2:27" ht="14.25">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row>
    <row r="12" spans="2:27" ht="14.25">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row>
    <row r="13" spans="2:27" ht="14.25">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row>
    <row r="14" spans="2:27" ht="14.25">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row>
    <row r="19" ht="14.25">
      <c r="B19" s="212"/>
    </row>
    <row r="20" ht="14.25">
      <c r="B20" s="212"/>
    </row>
    <row r="21" ht="14.25">
      <c r="B21" s="3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F66"/>
  <sheetViews>
    <sheetView zoomScale="90" zoomScaleNormal="90" zoomScalePageLayoutView="0" workbookViewId="0" topLeftCell="P1">
      <selection activeCell="AC4" sqref="AC4"/>
    </sheetView>
  </sheetViews>
  <sheetFormatPr defaultColWidth="11.421875" defaultRowHeight="21.75" customHeight="1"/>
  <cols>
    <col min="1" max="1" width="27.28125" style="1" customWidth="1"/>
    <col min="2" max="4" width="16.421875" style="1" customWidth="1"/>
    <col min="5" max="5" width="17.421875" style="1" customWidth="1"/>
    <col min="6" max="6" width="15.7109375" style="1" customWidth="1"/>
    <col min="7" max="7" width="16.7109375" style="1" bestFit="1" customWidth="1"/>
    <col min="8" max="9" width="16.140625" style="1" customWidth="1"/>
    <col min="10" max="11" width="16.7109375" style="1" bestFit="1" customWidth="1"/>
    <col min="12" max="12" width="15.8515625" style="1" customWidth="1"/>
    <col min="13" max="13" width="17.140625" style="1" customWidth="1"/>
    <col min="14" max="14" width="17.28125" style="1" customWidth="1"/>
    <col min="15" max="19" width="16.140625" style="1" customWidth="1"/>
    <col min="20" max="20" width="17.140625" style="1" customWidth="1"/>
    <col min="21" max="28" width="16.8515625" style="1" customWidth="1"/>
    <col min="29" max="29" width="24.00390625" style="1" customWidth="1"/>
    <col min="30" max="30" width="17.421875" style="1" customWidth="1"/>
    <col min="31" max="31" width="14.28125" style="1" bestFit="1" customWidth="1"/>
    <col min="32" max="32" width="15.00390625" style="1" bestFit="1" customWidth="1"/>
    <col min="33" max="16384" width="11.421875" style="1" customWidth="1"/>
  </cols>
  <sheetData>
    <row r="1" spans="1:29" ht="45" customHeight="1">
      <c r="A1" s="260" t="s">
        <v>63</v>
      </c>
      <c r="B1" s="262" t="s">
        <v>65</v>
      </c>
      <c r="C1" s="263"/>
      <c r="D1" s="263"/>
      <c r="E1" s="263"/>
      <c r="F1" s="264"/>
      <c r="G1" s="265" t="s">
        <v>71</v>
      </c>
      <c r="H1" s="266"/>
      <c r="I1" s="267"/>
      <c r="J1" s="268" t="s">
        <v>62</v>
      </c>
      <c r="K1" s="269"/>
      <c r="L1" s="269"/>
      <c r="M1" s="270"/>
      <c r="N1" s="273" t="s">
        <v>103</v>
      </c>
      <c r="O1" s="274"/>
      <c r="P1" s="275" t="s">
        <v>432</v>
      </c>
      <c r="Q1" s="276"/>
      <c r="R1" s="276"/>
      <c r="S1" s="277"/>
      <c r="T1" s="275" t="s">
        <v>102</v>
      </c>
      <c r="U1" s="277"/>
      <c r="V1" s="117" t="s">
        <v>433</v>
      </c>
      <c r="W1" s="275" t="s">
        <v>437</v>
      </c>
      <c r="X1" s="276"/>
      <c r="Y1" s="276"/>
      <c r="Z1" s="276"/>
      <c r="AA1" s="276"/>
      <c r="AB1" s="277"/>
      <c r="AC1" s="271" t="s">
        <v>69</v>
      </c>
    </row>
    <row r="2" spans="1:29" ht="51.75" customHeight="1" thickBot="1">
      <c r="A2" s="261"/>
      <c r="B2" s="121" t="s">
        <v>0</v>
      </c>
      <c r="C2" s="121" t="s">
        <v>1</v>
      </c>
      <c r="D2" s="121" t="s">
        <v>2</v>
      </c>
      <c r="E2" s="121" t="s">
        <v>3</v>
      </c>
      <c r="F2" s="121" t="s">
        <v>78</v>
      </c>
      <c r="G2" s="121" t="s">
        <v>66</v>
      </c>
      <c r="H2" s="121" t="s">
        <v>67</v>
      </c>
      <c r="I2" s="121" t="s">
        <v>61</v>
      </c>
      <c r="J2" s="122" t="s">
        <v>59</v>
      </c>
      <c r="K2" s="123" t="s">
        <v>60</v>
      </c>
      <c r="L2" s="123" t="s">
        <v>68</v>
      </c>
      <c r="M2" s="121" t="s">
        <v>61</v>
      </c>
      <c r="N2" s="137">
        <v>2014</v>
      </c>
      <c r="O2" s="137">
        <v>2015</v>
      </c>
      <c r="P2" s="137">
        <v>2014</v>
      </c>
      <c r="Q2" s="137">
        <v>2015</v>
      </c>
      <c r="R2" s="137">
        <v>2016</v>
      </c>
      <c r="S2" s="137">
        <v>2017</v>
      </c>
      <c r="T2" s="137">
        <v>2014</v>
      </c>
      <c r="U2" s="137">
        <v>2015</v>
      </c>
      <c r="V2" s="137">
        <v>2014</v>
      </c>
      <c r="W2" s="137">
        <v>2015</v>
      </c>
      <c r="X2" s="137">
        <v>2016</v>
      </c>
      <c r="Y2" s="137">
        <v>2017</v>
      </c>
      <c r="Z2" s="137">
        <v>2018</v>
      </c>
      <c r="AA2" s="137">
        <v>2019</v>
      </c>
      <c r="AB2" s="137">
        <v>2020</v>
      </c>
      <c r="AC2" s="272"/>
    </row>
    <row r="3" spans="1:32" ht="21.75" customHeight="1" thickBot="1">
      <c r="A3" s="128" t="s">
        <v>4</v>
      </c>
      <c r="B3" s="155">
        <v>20000000</v>
      </c>
      <c r="C3" s="155">
        <v>46055118.51</v>
      </c>
      <c r="D3" s="155">
        <v>48308094.58</v>
      </c>
      <c r="E3" s="155">
        <v>19569859.22</v>
      </c>
      <c r="F3" s="156">
        <f>SUM(B3:E3)</f>
        <v>133933072.31</v>
      </c>
      <c r="G3" s="155">
        <v>154274187.69</v>
      </c>
      <c r="H3" s="155">
        <v>56700000</v>
      </c>
      <c r="I3" s="155">
        <f>SUM(G3:H3)</f>
        <v>210974187.69</v>
      </c>
      <c r="J3" s="257">
        <v>660000000</v>
      </c>
      <c r="K3" s="258"/>
      <c r="L3" s="259"/>
      <c r="M3" s="129">
        <f>J3</f>
        <v>660000000</v>
      </c>
      <c r="N3" s="130">
        <v>167000000</v>
      </c>
      <c r="O3" s="130">
        <v>158000000</v>
      </c>
      <c r="P3" s="130">
        <v>114483474</v>
      </c>
      <c r="Q3" s="211">
        <f>114904506</f>
        <v>114904506</v>
      </c>
      <c r="R3" s="206">
        <f>5217005.51+109266468.49</f>
        <v>114483474</v>
      </c>
      <c r="S3" s="206">
        <v>76095823.65</v>
      </c>
      <c r="T3" s="130">
        <f>142525129+63294575.83+69861565.25</f>
        <v>275681270.08</v>
      </c>
      <c r="U3" s="206">
        <f>126000000+79819704.82+41031967.36+5512788.9</f>
        <v>252364461.08</v>
      </c>
      <c r="V3" s="206">
        <f>6996174.98+29148327.82+150199736.77+23655760.43</f>
        <v>210000000</v>
      </c>
      <c r="W3" s="207">
        <f>421032+190000000</f>
        <v>190421032</v>
      </c>
      <c r="X3" s="207">
        <f>175338209.05+52817636.46+53299164.3+85979249.58+48243701.62+15251339.11+10721586.12+15748297.77+24256570.57</f>
        <v>481655754.58</v>
      </c>
      <c r="Y3" s="207">
        <f>77894590.74+108999730.9</f>
        <v>186894321.64</v>
      </c>
      <c r="Z3" s="148"/>
      <c r="AA3" s="148"/>
      <c r="AB3" s="148"/>
      <c r="AC3" s="132">
        <f>U3+T3+R3+Q3+P3+O3+N3+M3+I3+F3+S3+SUM(V3:AB3)</f>
        <v>3346891377.0299997</v>
      </c>
      <c r="AD3" s="225"/>
      <c r="AF3" s="224"/>
    </row>
    <row r="4" spans="1:31" ht="21.75" customHeight="1" thickBot="1">
      <c r="A4" s="139" t="s">
        <v>107</v>
      </c>
      <c r="B4" s="167"/>
      <c r="C4" s="167"/>
      <c r="D4" s="167"/>
      <c r="E4" s="167"/>
      <c r="F4" s="168"/>
      <c r="G4" s="167"/>
      <c r="H4" s="167"/>
      <c r="I4" s="167"/>
      <c r="J4" s="159"/>
      <c r="K4" s="143"/>
      <c r="L4" s="134"/>
      <c r="M4" s="147"/>
      <c r="N4" s="169">
        <f>99000000</f>
        <v>99000000</v>
      </c>
      <c r="O4" s="208">
        <f>50000000+41000000</f>
        <v>91000000</v>
      </c>
      <c r="P4" s="208">
        <f>28111266+39125060</f>
        <v>67236326</v>
      </c>
      <c r="Q4" s="208">
        <f>15135982.85+18704095.62+23787543.56+9608703.97</f>
        <v>67236326</v>
      </c>
      <c r="R4" s="208">
        <f>36026776.63+4478848.1+15476813.95+11253887.32</f>
        <v>67236326</v>
      </c>
      <c r="S4" s="208">
        <v>41182932.15</v>
      </c>
      <c r="T4" s="4"/>
      <c r="U4" s="4"/>
      <c r="V4" s="149"/>
      <c r="W4" s="149"/>
      <c r="X4" s="207">
        <f>7407709.42+52980519.67+20010904.12+39348821.11+35610160.27+6487645.63+4394708.07</f>
        <v>166240468.29</v>
      </c>
      <c r="Y4" s="149"/>
      <c r="Z4" s="149"/>
      <c r="AA4" s="149"/>
      <c r="AB4" s="149"/>
      <c r="AC4" s="146">
        <f>U4+T4+R4+Q4+P4+O4+N4+M4+I4+F4+S4+SUM(V4:AB4)-SUM(N5:S5)</f>
        <v>81966781.30999988</v>
      </c>
      <c r="AD4" s="3"/>
      <c r="AE4" s="223"/>
    </row>
    <row r="5" spans="1:31" ht="21.75" customHeight="1" thickBot="1">
      <c r="A5" s="133" t="s">
        <v>64</v>
      </c>
      <c r="B5" s="159">
        <f>SUM(B6:B61)</f>
        <v>29275345.659999996</v>
      </c>
      <c r="C5" s="159">
        <f>SUM(C6:C61)</f>
        <v>25942036.519999996</v>
      </c>
      <c r="D5" s="159">
        <f>SUM(D6:D61)</f>
        <v>29016869.3</v>
      </c>
      <c r="E5" s="159">
        <f>SUM(E6:E61)</f>
        <v>21934076.930000003</v>
      </c>
      <c r="F5" s="205">
        <f aca="true" t="shared" si="0" ref="F5:F36">SUM(B5:E5)</f>
        <v>106168328.41</v>
      </c>
      <c r="G5" s="159">
        <v>90605475.32000001</v>
      </c>
      <c r="H5" s="159">
        <v>33299999.99</v>
      </c>
      <c r="I5" s="159">
        <v>123905475.3</v>
      </c>
      <c r="J5" s="134">
        <v>120251807</v>
      </c>
      <c r="K5" s="134">
        <f>SUM(K6:K61)</f>
        <v>141348192.99999997</v>
      </c>
      <c r="L5" s="134">
        <v>8400000</v>
      </c>
      <c r="M5" s="134">
        <v>269999999.96000004</v>
      </c>
      <c r="N5" s="135">
        <f aca="true" t="shared" si="1" ref="N5:S5">SUM(N6:N61)</f>
        <v>86397006.56999998</v>
      </c>
      <c r="O5" s="135">
        <f t="shared" si="1"/>
        <v>91000000.10000001</v>
      </c>
      <c r="P5" s="135">
        <f t="shared" si="1"/>
        <v>67007420.13000001</v>
      </c>
      <c r="Q5" s="135">
        <f t="shared" si="1"/>
        <v>61369605.54999999</v>
      </c>
      <c r="R5" s="135">
        <f t="shared" si="1"/>
        <v>170358445.57000002</v>
      </c>
      <c r="S5" s="135">
        <f t="shared" si="1"/>
        <v>41033119.21</v>
      </c>
      <c r="T5" s="135"/>
      <c r="U5" s="135"/>
      <c r="V5" s="150"/>
      <c r="W5" s="150"/>
      <c r="X5" s="150"/>
      <c r="Y5" s="150"/>
      <c r="Z5" s="150"/>
      <c r="AA5" s="150"/>
      <c r="AB5" s="150"/>
      <c r="AC5" s="136">
        <f>U5+T5+S5+R5+Q5+P5+O5+N5+M5+I5+F5+SUM(V5:AB5)</f>
        <v>1017239400.8000001</v>
      </c>
      <c r="AD5" s="138"/>
      <c r="AE5" s="3"/>
    </row>
    <row r="6" spans="1:31" ht="21.75" customHeight="1">
      <c r="A6" s="124" t="s">
        <v>5</v>
      </c>
      <c r="B6" s="160">
        <v>500000</v>
      </c>
      <c r="C6" s="160"/>
      <c r="D6" s="160"/>
      <c r="E6" s="160">
        <v>196316.48</v>
      </c>
      <c r="F6" s="161">
        <f t="shared" si="0"/>
        <v>696316.48</v>
      </c>
      <c r="G6" s="160">
        <v>1615938.1</v>
      </c>
      <c r="H6" s="160">
        <v>593901.62</v>
      </c>
      <c r="I6" s="161">
        <f aca="true" t="shared" si="2" ref="I6:I61">SUM(G6:H6)</f>
        <v>2209839.72</v>
      </c>
      <c r="J6" s="160">
        <v>2136122.51</v>
      </c>
      <c r="K6" s="160">
        <v>2510873.35</v>
      </c>
      <c r="L6" s="162">
        <v>149215.46</v>
      </c>
      <c r="M6" s="125">
        <f aca="true" t="shared" si="3" ref="M6:M61">SUM(J6:L6)</f>
        <v>4796211.319999999</v>
      </c>
      <c r="N6" s="154">
        <v>1758610.8199999998</v>
      </c>
      <c r="O6" s="154">
        <v>2925241.6999999997</v>
      </c>
      <c r="P6" s="126">
        <v>5143426.210000001</v>
      </c>
      <c r="Q6" s="126">
        <v>2161346.19</v>
      </c>
      <c r="R6" s="126">
        <v>8131795.210000001</v>
      </c>
      <c r="S6" s="126">
        <v>0</v>
      </c>
      <c r="T6" s="126"/>
      <c r="U6" s="126"/>
      <c r="V6" s="126"/>
      <c r="W6" s="126"/>
      <c r="X6" s="126"/>
      <c r="Y6" s="126"/>
      <c r="Z6" s="126"/>
      <c r="AA6" s="126"/>
      <c r="AB6" s="126"/>
      <c r="AC6" s="127">
        <f>U6+T6+S6+R6+Q6+P6+O6+N6+M6+I6+F6+SUM(V6:AB6)</f>
        <v>27822787.650000002</v>
      </c>
      <c r="AD6" s="3"/>
      <c r="AE6" s="3"/>
    </row>
    <row r="7" spans="1:31" ht="21.75" customHeight="1">
      <c r="A7" s="2" t="s">
        <v>396</v>
      </c>
      <c r="B7" s="160">
        <f>500000+142470.76</f>
        <v>642470.76</v>
      </c>
      <c r="C7" s="163">
        <v>1097345.51</v>
      </c>
      <c r="D7" s="163"/>
      <c r="E7" s="163"/>
      <c r="F7" s="164">
        <f t="shared" si="0"/>
        <v>1739816.27</v>
      </c>
      <c r="G7" s="163">
        <v>695027.14</v>
      </c>
      <c r="H7" s="163">
        <v>255441.56</v>
      </c>
      <c r="I7" s="164">
        <f t="shared" si="2"/>
        <v>950468.7</v>
      </c>
      <c r="J7" s="163">
        <v>1653018.79</v>
      </c>
      <c r="K7" s="163">
        <v>1943016.29</v>
      </c>
      <c r="L7" s="165">
        <v>115469.02</v>
      </c>
      <c r="M7" s="118">
        <f t="shared" si="3"/>
        <v>3711504.1</v>
      </c>
      <c r="N7" s="166">
        <v>1377824.56</v>
      </c>
      <c r="O7" s="166">
        <v>0</v>
      </c>
      <c r="P7" s="119">
        <v>0</v>
      </c>
      <c r="Q7" s="119">
        <v>0</v>
      </c>
      <c r="R7" s="119">
        <v>1741595.84</v>
      </c>
      <c r="S7" s="119">
        <v>0</v>
      </c>
      <c r="T7" s="119"/>
      <c r="U7" s="119"/>
      <c r="V7" s="119"/>
      <c r="W7" s="119"/>
      <c r="X7" s="119"/>
      <c r="Y7" s="119"/>
      <c r="Z7" s="119"/>
      <c r="AA7" s="119"/>
      <c r="AB7" s="119"/>
      <c r="AC7" s="127">
        <f aca="true" t="shared" si="4" ref="AC7:AC61">U7+T7+S7+R7+Q7+P7+O7+N7+M7+I7+F7+SUM(V7:AB7)</f>
        <v>9521209.47</v>
      </c>
      <c r="AE7" s="138"/>
    </row>
    <row r="8" spans="1:29" ht="21.75" customHeight="1">
      <c r="A8" s="2" t="s">
        <v>7</v>
      </c>
      <c r="B8" s="163">
        <v>500000</v>
      </c>
      <c r="C8" s="163">
        <v>786749.41</v>
      </c>
      <c r="D8" s="163"/>
      <c r="E8" s="163">
        <v>218294.07</v>
      </c>
      <c r="F8" s="164">
        <f t="shared" si="0"/>
        <v>1505043.4800000002</v>
      </c>
      <c r="G8" s="163">
        <v>1494308.35</v>
      </c>
      <c r="H8" s="163">
        <v>549199.35</v>
      </c>
      <c r="I8" s="164">
        <f t="shared" si="2"/>
        <v>2043507.7000000002</v>
      </c>
      <c r="J8" s="163">
        <v>2072316.36</v>
      </c>
      <c r="K8" s="163">
        <v>2435873.36</v>
      </c>
      <c r="L8" s="165">
        <v>144758.38</v>
      </c>
      <c r="M8" s="118">
        <f t="shared" si="3"/>
        <v>4652948.1</v>
      </c>
      <c r="N8" s="166">
        <v>1706080.97</v>
      </c>
      <c r="O8" s="166">
        <v>1059459.73</v>
      </c>
      <c r="P8" s="119">
        <v>1842252.9</v>
      </c>
      <c r="Q8" s="119">
        <v>2298125.42</v>
      </c>
      <c r="R8" s="119">
        <v>5663199.44</v>
      </c>
      <c r="S8" s="119">
        <v>0</v>
      </c>
      <c r="T8" s="119"/>
      <c r="U8" s="119"/>
      <c r="V8" s="119"/>
      <c r="W8" s="119"/>
      <c r="X8" s="119"/>
      <c r="Y8" s="119"/>
      <c r="Z8" s="119"/>
      <c r="AA8" s="119"/>
      <c r="AB8" s="119"/>
      <c r="AC8" s="127">
        <f t="shared" si="4"/>
        <v>20770617.740000002</v>
      </c>
    </row>
    <row r="9" spans="1:29" ht="21.75" customHeight="1">
      <c r="A9" s="2" t="s">
        <v>8</v>
      </c>
      <c r="B9" s="163">
        <v>500000</v>
      </c>
      <c r="C9" s="163">
        <v>1677815.05</v>
      </c>
      <c r="D9" s="163">
        <f>1160163.19</f>
        <v>1160163.19</v>
      </c>
      <c r="E9" s="163">
        <v>530748.02</v>
      </c>
      <c r="F9" s="164">
        <f t="shared" si="0"/>
        <v>3868726.26</v>
      </c>
      <c r="G9" s="163">
        <v>6138736.12</v>
      </c>
      <c r="H9" s="163">
        <v>2256154.08</v>
      </c>
      <c r="I9" s="164">
        <f t="shared" si="2"/>
        <v>8394890.2</v>
      </c>
      <c r="J9" s="163">
        <v>4547083.5</v>
      </c>
      <c r="K9" s="163">
        <v>5344801.49</v>
      </c>
      <c r="L9" s="165">
        <v>317629.34</v>
      </c>
      <c r="M9" s="118">
        <f t="shared" si="3"/>
        <v>10209514.33</v>
      </c>
      <c r="N9" s="166">
        <v>3743488.59</v>
      </c>
      <c r="O9" s="166">
        <v>13198814.79</v>
      </c>
      <c r="P9" s="119">
        <v>13168545.8</v>
      </c>
      <c r="Q9" s="119">
        <v>9520994.19</v>
      </c>
      <c r="R9" s="119">
        <v>18173551.869999997</v>
      </c>
      <c r="S9" s="119">
        <v>0</v>
      </c>
      <c r="T9" s="119"/>
      <c r="U9" s="119"/>
      <c r="V9" s="119"/>
      <c r="W9" s="119"/>
      <c r="X9" s="119"/>
      <c r="Y9" s="119"/>
      <c r="Z9" s="119"/>
      <c r="AA9" s="119"/>
      <c r="AB9" s="119"/>
      <c r="AC9" s="127">
        <f t="shared" si="4"/>
        <v>80278526.03</v>
      </c>
    </row>
    <row r="10" spans="1:29" ht="21.75" customHeight="1">
      <c r="A10" s="2" t="s">
        <v>9</v>
      </c>
      <c r="B10" s="163">
        <v>500000</v>
      </c>
      <c r="C10" s="163"/>
      <c r="D10" s="163"/>
      <c r="E10" s="163"/>
      <c r="F10" s="164">
        <f t="shared" si="0"/>
        <v>500000</v>
      </c>
      <c r="G10" s="163">
        <v>364889.25</v>
      </c>
      <c r="H10" s="163">
        <v>134106.82</v>
      </c>
      <c r="I10" s="164">
        <f t="shared" si="2"/>
        <v>498996.07</v>
      </c>
      <c r="J10" s="163">
        <v>1479830.67</v>
      </c>
      <c r="K10" s="163">
        <v>1739444.89</v>
      </c>
      <c r="L10" s="165">
        <v>103371.24</v>
      </c>
      <c r="M10" s="118">
        <f t="shared" si="3"/>
        <v>3322646.8</v>
      </c>
      <c r="N10" s="166">
        <v>1033444.12</v>
      </c>
      <c r="O10" s="166">
        <v>0</v>
      </c>
      <c r="P10" s="119">
        <v>0</v>
      </c>
      <c r="Q10" s="119">
        <v>0</v>
      </c>
      <c r="R10" s="119">
        <v>0</v>
      </c>
      <c r="S10" s="119">
        <v>0</v>
      </c>
      <c r="T10" s="119"/>
      <c r="U10" s="119"/>
      <c r="V10" s="119"/>
      <c r="W10" s="119"/>
      <c r="X10" s="119"/>
      <c r="Y10" s="119"/>
      <c r="Z10" s="119"/>
      <c r="AA10" s="119"/>
      <c r="AB10" s="119"/>
      <c r="AC10" s="127">
        <f t="shared" si="4"/>
        <v>5355086.99</v>
      </c>
    </row>
    <row r="11" spans="1:29" ht="21.75" customHeight="1">
      <c r="A11" s="2" t="s">
        <v>397</v>
      </c>
      <c r="B11" s="163">
        <v>500000</v>
      </c>
      <c r="C11" s="163">
        <v>627049.71</v>
      </c>
      <c r="D11" s="163"/>
      <c r="E11" s="163"/>
      <c r="F11" s="164">
        <f t="shared" si="0"/>
        <v>1127049.71</v>
      </c>
      <c r="G11" s="163">
        <v>451767.64</v>
      </c>
      <c r="H11" s="163">
        <v>166037.01</v>
      </c>
      <c r="I11" s="164">
        <f t="shared" si="2"/>
        <v>617804.65</v>
      </c>
      <c r="J11" s="163">
        <v>1525406.49</v>
      </c>
      <c r="K11" s="163">
        <v>1793016.31</v>
      </c>
      <c r="L11" s="165">
        <v>106554.87</v>
      </c>
      <c r="M11" s="118">
        <f t="shared" si="3"/>
        <v>3424977.67</v>
      </c>
      <c r="N11" s="166">
        <v>1255825.14</v>
      </c>
      <c r="O11" s="166">
        <v>1100800.72</v>
      </c>
      <c r="P11" s="119">
        <v>1914139.14</v>
      </c>
      <c r="Q11" s="119">
        <v>945334.21</v>
      </c>
      <c r="R11" s="119">
        <v>4149425.9099999997</v>
      </c>
      <c r="S11" s="119">
        <v>0</v>
      </c>
      <c r="T11" s="119"/>
      <c r="U11" s="119"/>
      <c r="V11" s="119"/>
      <c r="W11" s="119"/>
      <c r="X11" s="119"/>
      <c r="Y11" s="119"/>
      <c r="Z11" s="119"/>
      <c r="AA11" s="119"/>
      <c r="AB11" s="119"/>
      <c r="AC11" s="127">
        <f t="shared" si="4"/>
        <v>14535357.149999999</v>
      </c>
    </row>
    <row r="12" spans="1:29" ht="21.75" customHeight="1">
      <c r="A12" s="2" t="s">
        <v>54</v>
      </c>
      <c r="B12" s="163">
        <v>500000</v>
      </c>
      <c r="C12" s="163">
        <v>1168516.1</v>
      </c>
      <c r="D12" s="163">
        <v>974135.18</v>
      </c>
      <c r="E12" s="163">
        <v>460285.48</v>
      </c>
      <c r="F12" s="164">
        <f t="shared" si="0"/>
        <v>3102936.7600000002</v>
      </c>
      <c r="G12" s="163">
        <v>1424805.63</v>
      </c>
      <c r="H12" s="163">
        <v>523655.19</v>
      </c>
      <c r="I12" s="164">
        <f t="shared" si="2"/>
        <v>1948460.8199999998</v>
      </c>
      <c r="J12" s="163">
        <v>2035855.7</v>
      </c>
      <c r="K12" s="163">
        <v>2393016.22</v>
      </c>
      <c r="L12" s="165">
        <v>142211.49</v>
      </c>
      <c r="M12" s="118">
        <f t="shared" si="3"/>
        <v>4571083.41</v>
      </c>
      <c r="N12" s="166">
        <v>1676063.92</v>
      </c>
      <c r="O12" s="166">
        <v>1482473.99</v>
      </c>
      <c r="P12" s="119">
        <v>2251210.46</v>
      </c>
      <c r="Q12" s="119">
        <v>935479.2999999999</v>
      </c>
      <c r="R12" s="119">
        <v>6823350.53</v>
      </c>
      <c r="S12" s="119">
        <v>0</v>
      </c>
      <c r="T12" s="119"/>
      <c r="U12" s="119"/>
      <c r="V12" s="119"/>
      <c r="W12" s="119"/>
      <c r="X12" s="119"/>
      <c r="Y12" s="119"/>
      <c r="Z12" s="119"/>
      <c r="AA12" s="119"/>
      <c r="AB12" s="119"/>
      <c r="AC12" s="127">
        <f t="shared" si="4"/>
        <v>22791059.19</v>
      </c>
    </row>
    <row r="13" spans="1:29" ht="21.75" customHeight="1">
      <c r="A13" s="2" t="s">
        <v>55</v>
      </c>
      <c r="B13" s="163">
        <v>500000</v>
      </c>
      <c r="C13" s="163"/>
      <c r="D13" s="163">
        <v>450497.85</v>
      </c>
      <c r="E13" s="163">
        <v>1507896.46</v>
      </c>
      <c r="F13" s="164">
        <f t="shared" si="0"/>
        <v>2458394.31</v>
      </c>
      <c r="G13" s="163">
        <v>894847.44</v>
      </c>
      <c r="H13" s="163">
        <v>328881</v>
      </c>
      <c r="I13" s="164">
        <f t="shared" si="2"/>
        <v>1223728.44</v>
      </c>
      <c r="J13" s="163">
        <v>1757843.18</v>
      </c>
      <c r="K13" s="163">
        <v>2066230.56</v>
      </c>
      <c r="L13" s="165">
        <v>122791.36</v>
      </c>
      <c r="M13" s="118">
        <f t="shared" si="3"/>
        <v>3946865.1</v>
      </c>
      <c r="N13" s="166">
        <v>0</v>
      </c>
      <c r="O13" s="166">
        <v>0</v>
      </c>
      <c r="P13" s="119">
        <v>0</v>
      </c>
      <c r="Q13" s="119">
        <v>0</v>
      </c>
      <c r="R13" s="119">
        <v>0</v>
      </c>
      <c r="S13" s="119">
        <v>0</v>
      </c>
      <c r="T13" s="119"/>
      <c r="U13" s="119"/>
      <c r="V13" s="119"/>
      <c r="W13" s="119"/>
      <c r="X13" s="119"/>
      <c r="Y13" s="119"/>
      <c r="Z13" s="119"/>
      <c r="AA13" s="119"/>
      <c r="AB13" s="119"/>
      <c r="AC13" s="127">
        <f t="shared" si="4"/>
        <v>7628987.85</v>
      </c>
    </row>
    <row r="14" spans="1:29" ht="21.75" customHeight="1">
      <c r="A14" s="2" t="s">
        <v>11</v>
      </c>
      <c r="B14" s="163">
        <v>500000</v>
      </c>
      <c r="C14" s="163"/>
      <c r="D14" s="163">
        <v>954547.8</v>
      </c>
      <c r="E14" s="163"/>
      <c r="F14" s="164">
        <f t="shared" si="0"/>
        <v>1454547.8</v>
      </c>
      <c r="G14" s="163">
        <v>2276213.88</v>
      </c>
      <c r="H14" s="163">
        <v>836571.1</v>
      </c>
      <c r="I14" s="164">
        <f t="shared" si="2"/>
        <v>3112784.98</v>
      </c>
      <c r="J14" s="163">
        <v>2482498.75</v>
      </c>
      <c r="K14" s="163">
        <v>2918016.14</v>
      </c>
      <c r="L14" s="165">
        <v>173411.04</v>
      </c>
      <c r="M14" s="118">
        <f t="shared" si="3"/>
        <v>5573925.930000001</v>
      </c>
      <c r="N14" s="166">
        <v>2043772.84</v>
      </c>
      <c r="O14" s="166">
        <v>0</v>
      </c>
      <c r="P14" s="119">
        <v>0</v>
      </c>
      <c r="Q14" s="119">
        <v>0</v>
      </c>
      <c r="R14" s="119">
        <v>2058726.1400000001</v>
      </c>
      <c r="S14" s="119">
        <v>0</v>
      </c>
      <c r="T14" s="119"/>
      <c r="U14" s="119"/>
      <c r="V14" s="119"/>
      <c r="W14" s="119"/>
      <c r="X14" s="119"/>
      <c r="Y14" s="119"/>
      <c r="Z14" s="119"/>
      <c r="AA14" s="119"/>
      <c r="AB14" s="119"/>
      <c r="AC14" s="127">
        <f t="shared" si="4"/>
        <v>14243757.690000001</v>
      </c>
    </row>
    <row r="15" spans="1:29" ht="21.75" customHeight="1">
      <c r="A15" s="2" t="s">
        <v>12</v>
      </c>
      <c r="B15" s="163">
        <v>500000</v>
      </c>
      <c r="C15" s="163"/>
      <c r="D15" s="163">
        <v>553515.01</v>
      </c>
      <c r="E15" s="163">
        <v>808649.26</v>
      </c>
      <c r="F15" s="164">
        <f t="shared" si="0"/>
        <v>1862164.27</v>
      </c>
      <c r="G15" s="163">
        <v>868783.92</v>
      </c>
      <c r="H15" s="163">
        <v>319301.95</v>
      </c>
      <c r="I15" s="164">
        <f t="shared" si="2"/>
        <v>1188085.87</v>
      </c>
      <c r="J15" s="163">
        <v>1744170.44</v>
      </c>
      <c r="K15" s="163">
        <v>2050159.13</v>
      </c>
      <c r="L15" s="165">
        <v>121836.27</v>
      </c>
      <c r="M15" s="118">
        <f t="shared" si="3"/>
        <v>3916165.84</v>
      </c>
      <c r="N15" s="166">
        <v>1435927.48</v>
      </c>
      <c r="O15" s="166">
        <v>5719106.01</v>
      </c>
      <c r="P15" s="119">
        <v>5043227.07</v>
      </c>
      <c r="Q15" s="119">
        <v>2083892.68</v>
      </c>
      <c r="R15" s="119">
        <v>4904306.07</v>
      </c>
      <c r="S15" s="119">
        <v>0</v>
      </c>
      <c r="T15" s="119"/>
      <c r="U15" s="119"/>
      <c r="V15" s="119"/>
      <c r="W15" s="119"/>
      <c r="X15" s="119"/>
      <c r="Y15" s="119"/>
      <c r="Z15" s="119"/>
      <c r="AA15" s="119"/>
      <c r="AB15" s="119"/>
      <c r="AC15" s="127">
        <f t="shared" si="4"/>
        <v>26152875.29</v>
      </c>
    </row>
    <row r="16" spans="1:29" ht="21.75" customHeight="1">
      <c r="A16" s="2" t="s">
        <v>13</v>
      </c>
      <c r="B16" s="163">
        <v>500000</v>
      </c>
      <c r="C16" s="163"/>
      <c r="D16" s="163">
        <v>477703.5</v>
      </c>
      <c r="E16" s="163">
        <v>292032.44</v>
      </c>
      <c r="F16" s="164">
        <f t="shared" si="0"/>
        <v>1269735.94</v>
      </c>
      <c r="G16" s="163">
        <v>868783.92</v>
      </c>
      <c r="H16" s="163">
        <v>319301.95</v>
      </c>
      <c r="I16" s="164">
        <f t="shared" si="2"/>
        <v>1188085.87</v>
      </c>
      <c r="J16" s="163">
        <v>1744170.44</v>
      </c>
      <c r="K16" s="163">
        <v>2050159.13</v>
      </c>
      <c r="L16" s="165">
        <v>121836.27</v>
      </c>
      <c r="M16" s="118">
        <f t="shared" si="3"/>
        <v>3916165.84</v>
      </c>
      <c r="N16" s="166">
        <v>1435927.48</v>
      </c>
      <c r="O16" s="166">
        <v>0</v>
      </c>
      <c r="P16" s="119">
        <v>0</v>
      </c>
      <c r="Q16" s="119">
        <v>0</v>
      </c>
      <c r="R16" s="119">
        <v>51107.01</v>
      </c>
      <c r="S16" s="119">
        <v>1761296.9</v>
      </c>
      <c r="T16" s="119"/>
      <c r="U16" s="119"/>
      <c r="V16" s="119"/>
      <c r="W16" s="119"/>
      <c r="X16" s="119"/>
      <c r="Y16" s="119"/>
      <c r="Z16" s="119"/>
      <c r="AA16" s="119"/>
      <c r="AB16" s="119"/>
      <c r="AC16" s="127">
        <f t="shared" si="4"/>
        <v>9622319.04</v>
      </c>
    </row>
    <row r="17" spans="1:29" ht="21.75" customHeight="1">
      <c r="A17" s="2" t="s">
        <v>14</v>
      </c>
      <c r="B17" s="163">
        <v>500000</v>
      </c>
      <c r="C17" s="163"/>
      <c r="D17" s="163">
        <v>499599.87</v>
      </c>
      <c r="E17" s="163">
        <v>282129.57</v>
      </c>
      <c r="F17" s="164">
        <f t="shared" si="0"/>
        <v>1281729.44</v>
      </c>
      <c r="G17" s="163">
        <v>1059916.39</v>
      </c>
      <c r="H17" s="163">
        <v>389548.37</v>
      </c>
      <c r="I17" s="164">
        <f t="shared" si="2"/>
        <v>1449464.7599999998</v>
      </c>
      <c r="J17" s="163">
        <v>1844437.24</v>
      </c>
      <c r="K17" s="163">
        <v>2168016.26</v>
      </c>
      <c r="L17" s="165">
        <v>128840.25</v>
      </c>
      <c r="M17" s="118">
        <f t="shared" si="3"/>
        <v>4141293.75</v>
      </c>
      <c r="N17" s="166">
        <v>1518474.38</v>
      </c>
      <c r="O17" s="166">
        <v>1132889.03</v>
      </c>
      <c r="P17" s="119">
        <v>0</v>
      </c>
      <c r="Q17" s="119">
        <v>3631269.9699999997</v>
      </c>
      <c r="R17" s="119">
        <v>5698213.71</v>
      </c>
      <c r="S17" s="119">
        <v>0</v>
      </c>
      <c r="T17" s="119"/>
      <c r="U17" s="119"/>
      <c r="V17" s="119"/>
      <c r="W17" s="119"/>
      <c r="X17" s="119"/>
      <c r="Y17" s="119"/>
      <c r="Z17" s="119"/>
      <c r="AA17" s="119"/>
      <c r="AB17" s="119"/>
      <c r="AC17" s="127">
        <f t="shared" si="4"/>
        <v>18853335.040000003</v>
      </c>
    </row>
    <row r="18" spans="1:29" ht="21.75" customHeight="1">
      <c r="A18" s="2" t="s">
        <v>56</v>
      </c>
      <c r="B18" s="163">
        <v>500000</v>
      </c>
      <c r="C18" s="163"/>
      <c r="D18" s="163"/>
      <c r="E18" s="163"/>
      <c r="F18" s="164">
        <f t="shared" si="0"/>
        <v>500000</v>
      </c>
      <c r="G18" s="163">
        <v>920910.96</v>
      </c>
      <c r="H18" s="163">
        <v>338460.06</v>
      </c>
      <c r="I18" s="164">
        <f t="shared" si="2"/>
        <v>1259371.02</v>
      </c>
      <c r="J18" s="163">
        <v>1771515.93</v>
      </c>
      <c r="K18" s="163">
        <v>2082301.98</v>
      </c>
      <c r="L18" s="165">
        <v>123746.45</v>
      </c>
      <c r="M18" s="118">
        <f t="shared" si="3"/>
        <v>3977564.3600000003</v>
      </c>
      <c r="N18" s="166">
        <v>1458440.27</v>
      </c>
      <c r="O18" s="166">
        <v>2669214.88</v>
      </c>
      <c r="P18" s="119">
        <v>205185.11</v>
      </c>
      <c r="Q18" s="119">
        <v>540941.79</v>
      </c>
      <c r="R18" s="119">
        <v>205185.1</v>
      </c>
      <c r="S18" s="119">
        <v>1739084.95</v>
      </c>
      <c r="T18" s="119"/>
      <c r="U18" s="119"/>
      <c r="V18" s="119"/>
      <c r="W18" s="119"/>
      <c r="X18" s="119"/>
      <c r="Y18" s="119"/>
      <c r="Z18" s="119"/>
      <c r="AA18" s="119"/>
      <c r="AB18" s="119"/>
      <c r="AC18" s="127">
        <f t="shared" si="4"/>
        <v>12554987.48</v>
      </c>
    </row>
    <row r="19" spans="1:29" ht="21.75" customHeight="1">
      <c r="A19" s="2" t="s">
        <v>57</v>
      </c>
      <c r="B19" s="163">
        <v>500000</v>
      </c>
      <c r="C19" s="163"/>
      <c r="D19" s="163"/>
      <c r="E19" s="163">
        <v>130902.51</v>
      </c>
      <c r="F19" s="164">
        <f t="shared" si="0"/>
        <v>630902.51</v>
      </c>
      <c r="G19" s="163">
        <v>529958.19</v>
      </c>
      <c r="H19" s="163">
        <v>194774.19</v>
      </c>
      <c r="I19" s="164">
        <f t="shared" si="2"/>
        <v>724732.3799999999</v>
      </c>
      <c r="J19" s="163">
        <v>1566424.73</v>
      </c>
      <c r="K19" s="163">
        <v>1841230.59</v>
      </c>
      <c r="L19" s="165">
        <v>109420.13</v>
      </c>
      <c r="M19" s="118">
        <f t="shared" si="3"/>
        <v>3517075.45</v>
      </c>
      <c r="N19" s="166">
        <v>1289594.33</v>
      </c>
      <c r="O19" s="166">
        <v>945482.97</v>
      </c>
      <c r="P19" s="119">
        <v>1276641.31</v>
      </c>
      <c r="Q19" s="119">
        <v>962795.49</v>
      </c>
      <c r="R19" s="119">
        <v>3000141.6</v>
      </c>
      <c r="S19" s="119">
        <v>2912550.69</v>
      </c>
      <c r="T19" s="119"/>
      <c r="U19" s="119"/>
      <c r="V19" s="119"/>
      <c r="W19" s="119"/>
      <c r="X19" s="119"/>
      <c r="Y19" s="119"/>
      <c r="Z19" s="119"/>
      <c r="AA19" s="119"/>
      <c r="AB19" s="119"/>
      <c r="AC19" s="127">
        <f t="shared" si="4"/>
        <v>15259916.729999999</v>
      </c>
    </row>
    <row r="20" spans="1:29" ht="21.75" customHeight="1">
      <c r="A20" s="2" t="s">
        <v>58</v>
      </c>
      <c r="B20" s="163">
        <v>500000</v>
      </c>
      <c r="C20" s="163">
        <v>500646.17</v>
      </c>
      <c r="D20" s="163"/>
      <c r="E20" s="163">
        <v>306249.34</v>
      </c>
      <c r="F20" s="164">
        <f t="shared" si="0"/>
        <v>1306895.51</v>
      </c>
      <c r="G20" s="163">
        <v>382264.93</v>
      </c>
      <c r="H20" s="163">
        <v>140492.86</v>
      </c>
      <c r="I20" s="164">
        <f t="shared" si="2"/>
        <v>522757.79</v>
      </c>
      <c r="J20" s="163">
        <v>1488945.83</v>
      </c>
      <c r="K20" s="163">
        <v>1750159.18</v>
      </c>
      <c r="L20" s="165">
        <v>104007.96</v>
      </c>
      <c r="M20" s="118">
        <f t="shared" si="3"/>
        <v>3343112.9699999997</v>
      </c>
      <c r="N20" s="166">
        <v>1225808.09</v>
      </c>
      <c r="O20" s="166">
        <v>0</v>
      </c>
      <c r="P20" s="119">
        <v>0</v>
      </c>
      <c r="Q20" s="119">
        <v>0</v>
      </c>
      <c r="R20" s="119">
        <v>0</v>
      </c>
      <c r="S20" s="119">
        <v>1577450.39</v>
      </c>
      <c r="T20" s="119"/>
      <c r="U20" s="119"/>
      <c r="V20" s="119"/>
      <c r="W20" s="119"/>
      <c r="X20" s="119"/>
      <c r="Y20" s="119"/>
      <c r="Z20" s="119"/>
      <c r="AA20" s="119"/>
      <c r="AB20" s="119"/>
      <c r="AC20" s="127">
        <f t="shared" si="4"/>
        <v>7976024.749999999</v>
      </c>
    </row>
    <row r="21" spans="1:29" ht="21.75" customHeight="1">
      <c r="A21" s="2" t="s">
        <v>15</v>
      </c>
      <c r="B21" s="163">
        <v>500000</v>
      </c>
      <c r="C21" s="163">
        <v>1260184.93</v>
      </c>
      <c r="D21" s="163"/>
      <c r="E21" s="163">
        <v>474606.5</v>
      </c>
      <c r="F21" s="164">
        <f t="shared" si="0"/>
        <v>2234791.4299999997</v>
      </c>
      <c r="G21" s="163">
        <v>1112043.42</v>
      </c>
      <c r="H21" s="163">
        <v>408706.49</v>
      </c>
      <c r="I21" s="164">
        <f t="shared" si="2"/>
        <v>1520749.91</v>
      </c>
      <c r="J21" s="163">
        <v>1871782.74</v>
      </c>
      <c r="K21" s="163">
        <v>2200159.11</v>
      </c>
      <c r="L21" s="165">
        <v>130750.43</v>
      </c>
      <c r="M21" s="118">
        <f t="shared" si="3"/>
        <v>4202692.279999999</v>
      </c>
      <c r="N21" s="166">
        <v>1540987.17</v>
      </c>
      <c r="O21" s="166">
        <v>0</v>
      </c>
      <c r="P21" s="119">
        <v>0</v>
      </c>
      <c r="Q21" s="119">
        <v>0</v>
      </c>
      <c r="R21" s="119">
        <v>0</v>
      </c>
      <c r="S21" s="119">
        <v>120161.5</v>
      </c>
      <c r="T21" s="119"/>
      <c r="U21" s="119"/>
      <c r="V21" s="119"/>
      <c r="W21" s="119"/>
      <c r="X21" s="119"/>
      <c r="Y21" s="119"/>
      <c r="Z21" s="119"/>
      <c r="AA21" s="119"/>
      <c r="AB21" s="119"/>
      <c r="AC21" s="127">
        <f t="shared" si="4"/>
        <v>9619382.29</v>
      </c>
    </row>
    <row r="22" spans="1:29" ht="21.75" customHeight="1">
      <c r="A22" s="2" t="s">
        <v>16</v>
      </c>
      <c r="B22" s="163">
        <v>500000</v>
      </c>
      <c r="C22" s="163"/>
      <c r="D22" s="163"/>
      <c r="E22" s="163"/>
      <c r="F22" s="164">
        <f t="shared" si="0"/>
        <v>500000</v>
      </c>
      <c r="G22" s="163">
        <v>1138106.94</v>
      </c>
      <c r="H22" s="163">
        <v>418285.55</v>
      </c>
      <c r="I22" s="164">
        <f t="shared" si="2"/>
        <v>1556392.49</v>
      </c>
      <c r="J22" s="163">
        <v>1885455.48</v>
      </c>
      <c r="K22" s="163">
        <v>2216230.53</v>
      </c>
      <c r="L22" s="165">
        <v>131705.53</v>
      </c>
      <c r="M22" s="118">
        <f t="shared" si="3"/>
        <v>4233391.54</v>
      </c>
      <c r="N22" s="166">
        <v>1552243.56</v>
      </c>
      <c r="O22" s="166">
        <v>65027.31</v>
      </c>
      <c r="P22" s="119">
        <v>0</v>
      </c>
      <c r="Q22" s="119">
        <v>0</v>
      </c>
      <c r="R22" s="119">
        <v>0</v>
      </c>
      <c r="S22" s="119">
        <v>874771.27</v>
      </c>
      <c r="T22" s="119"/>
      <c r="U22" s="119"/>
      <c r="V22" s="119"/>
      <c r="W22" s="119"/>
      <c r="X22" s="119"/>
      <c r="Y22" s="119"/>
      <c r="Z22" s="119"/>
      <c r="AA22" s="119"/>
      <c r="AB22" s="119"/>
      <c r="AC22" s="127">
        <f t="shared" si="4"/>
        <v>8781826.17</v>
      </c>
    </row>
    <row r="23" spans="1:29" ht="21.75" customHeight="1">
      <c r="A23" s="2" t="s">
        <v>17</v>
      </c>
      <c r="B23" s="163">
        <v>500000</v>
      </c>
      <c r="C23" s="163">
        <v>548730.49</v>
      </c>
      <c r="D23" s="163">
        <v>484293.1</v>
      </c>
      <c r="E23" s="163"/>
      <c r="F23" s="164">
        <f t="shared" si="0"/>
        <v>1533023.5899999999</v>
      </c>
      <c r="G23" s="163">
        <v>1433493.47</v>
      </c>
      <c r="H23" s="163">
        <v>526848.21</v>
      </c>
      <c r="I23" s="164">
        <f t="shared" si="2"/>
        <v>1960341.68</v>
      </c>
      <c r="J23" s="163">
        <v>2040413.28</v>
      </c>
      <c r="K23" s="163">
        <v>2398373.36</v>
      </c>
      <c r="L23" s="165">
        <v>142529.85</v>
      </c>
      <c r="M23" s="118">
        <f t="shared" si="3"/>
        <v>4581316.489999999</v>
      </c>
      <c r="N23" s="166">
        <v>1679816.05</v>
      </c>
      <c r="O23" s="166">
        <v>1055574.88</v>
      </c>
      <c r="P23" s="119">
        <v>1055574.88</v>
      </c>
      <c r="Q23" s="119">
        <v>3480838.15</v>
      </c>
      <c r="R23" s="119">
        <v>2189919.19</v>
      </c>
      <c r="S23" s="119">
        <v>2929398.83</v>
      </c>
      <c r="T23" s="119"/>
      <c r="U23" s="119"/>
      <c r="V23" s="119"/>
      <c r="W23" s="119"/>
      <c r="X23" s="119"/>
      <c r="Y23" s="119"/>
      <c r="Z23" s="119"/>
      <c r="AA23" s="119"/>
      <c r="AB23" s="119"/>
      <c r="AC23" s="127">
        <f t="shared" si="4"/>
        <v>20465803.74</v>
      </c>
    </row>
    <row r="24" spans="1:29" ht="21.75" customHeight="1">
      <c r="A24" s="2" t="s">
        <v>18</v>
      </c>
      <c r="B24" s="163">
        <v>500000</v>
      </c>
      <c r="C24" s="163"/>
      <c r="D24" s="163">
        <v>121070.31</v>
      </c>
      <c r="E24" s="163">
        <v>171914.51</v>
      </c>
      <c r="F24" s="164">
        <f t="shared" si="0"/>
        <v>792984.8200000001</v>
      </c>
      <c r="G24" s="163">
        <v>755842.01</v>
      </c>
      <c r="H24" s="163">
        <v>277792.69</v>
      </c>
      <c r="I24" s="164">
        <f t="shared" si="2"/>
        <v>1033634.7</v>
      </c>
      <c r="J24" s="163">
        <v>1684921.87</v>
      </c>
      <c r="K24" s="163">
        <v>1980516.28</v>
      </c>
      <c r="L24" s="165">
        <v>117697.56</v>
      </c>
      <c r="M24" s="118">
        <f t="shared" si="3"/>
        <v>3783135.7100000004</v>
      </c>
      <c r="N24" s="166">
        <v>1387149.76</v>
      </c>
      <c r="O24" s="166">
        <v>474236.87</v>
      </c>
      <c r="P24" s="119">
        <v>637361.64</v>
      </c>
      <c r="Q24" s="119">
        <v>163124.77</v>
      </c>
      <c r="R24" s="119">
        <v>776195.56</v>
      </c>
      <c r="S24" s="119">
        <v>1672128.39</v>
      </c>
      <c r="T24" s="119"/>
      <c r="U24" s="119"/>
      <c r="V24" s="119"/>
      <c r="W24" s="119"/>
      <c r="X24" s="119"/>
      <c r="Y24" s="119"/>
      <c r="Z24" s="119"/>
      <c r="AA24" s="119"/>
      <c r="AB24" s="119"/>
      <c r="AC24" s="127">
        <f t="shared" si="4"/>
        <v>10719952.22</v>
      </c>
    </row>
    <row r="25" spans="1:29" ht="21.75" customHeight="1">
      <c r="A25" s="2" t="s">
        <v>19</v>
      </c>
      <c r="B25" s="163">
        <v>500000</v>
      </c>
      <c r="C25" s="163"/>
      <c r="D25" s="163"/>
      <c r="E25" s="163"/>
      <c r="F25" s="164">
        <f t="shared" si="0"/>
        <v>500000</v>
      </c>
      <c r="G25" s="163">
        <v>356201.41</v>
      </c>
      <c r="H25" s="163">
        <v>130913.8</v>
      </c>
      <c r="I25" s="164">
        <f t="shared" si="2"/>
        <v>487115.20999999996</v>
      </c>
      <c r="J25" s="163">
        <v>1475273.09</v>
      </c>
      <c r="K25" s="163">
        <v>1734087.75</v>
      </c>
      <c r="L25" s="165">
        <v>103052.87</v>
      </c>
      <c r="M25" s="118">
        <f t="shared" si="3"/>
        <v>3312413.71</v>
      </c>
      <c r="N25" s="166">
        <v>1214551.69</v>
      </c>
      <c r="O25" s="166">
        <v>0</v>
      </c>
      <c r="P25" s="119">
        <v>0</v>
      </c>
      <c r="Q25" s="119">
        <v>0</v>
      </c>
      <c r="R25" s="119">
        <v>355288.36</v>
      </c>
      <c r="S25" s="119">
        <v>491569.16</v>
      </c>
      <c r="T25" s="119"/>
      <c r="U25" s="119"/>
      <c r="V25" s="119"/>
      <c r="W25" s="119"/>
      <c r="X25" s="119"/>
      <c r="Y25" s="119"/>
      <c r="Z25" s="119"/>
      <c r="AA25" s="119"/>
      <c r="AB25" s="119"/>
      <c r="AC25" s="127">
        <f t="shared" si="4"/>
        <v>6360938.13</v>
      </c>
    </row>
    <row r="26" spans="1:29" ht="21.75" customHeight="1">
      <c r="A26" s="2" t="s">
        <v>20</v>
      </c>
      <c r="B26" s="163">
        <v>500000</v>
      </c>
      <c r="C26" s="163"/>
      <c r="D26" s="163"/>
      <c r="E26" s="163"/>
      <c r="F26" s="164">
        <f t="shared" si="0"/>
        <v>500000</v>
      </c>
      <c r="G26" s="163">
        <v>90444.61</v>
      </c>
      <c r="H26" s="163">
        <v>33240.88</v>
      </c>
      <c r="I26" s="164">
        <f t="shared" si="2"/>
        <v>123685.48999999999</v>
      </c>
      <c r="J26" s="163">
        <v>1297527.38</v>
      </c>
      <c r="K26" s="163">
        <v>1525159.21</v>
      </c>
      <c r="L26" s="165">
        <v>90636.73</v>
      </c>
      <c r="M26" s="118">
        <f t="shared" si="3"/>
        <v>2913323.32</v>
      </c>
      <c r="N26" s="166">
        <v>0</v>
      </c>
      <c r="O26" s="166">
        <v>0</v>
      </c>
      <c r="P26" s="119">
        <v>0</v>
      </c>
      <c r="Q26" s="119">
        <v>0</v>
      </c>
      <c r="R26" s="119">
        <v>0</v>
      </c>
      <c r="S26" s="119">
        <v>0</v>
      </c>
      <c r="T26" s="119"/>
      <c r="U26" s="119"/>
      <c r="V26" s="119"/>
      <c r="W26" s="119"/>
      <c r="X26" s="119"/>
      <c r="Y26" s="119"/>
      <c r="Z26" s="119"/>
      <c r="AA26" s="119"/>
      <c r="AB26" s="119"/>
      <c r="AC26" s="127">
        <f t="shared" si="4"/>
        <v>3537008.8099999996</v>
      </c>
    </row>
    <row r="27" spans="1:29" ht="21.75" customHeight="1">
      <c r="A27" s="2" t="s">
        <v>21</v>
      </c>
      <c r="B27" s="163">
        <v>500000</v>
      </c>
      <c r="C27" s="163"/>
      <c r="D27" s="163">
        <v>637802.04</v>
      </c>
      <c r="E27" s="163">
        <v>652794.07</v>
      </c>
      <c r="F27" s="164">
        <f t="shared" si="0"/>
        <v>1790596.1099999999</v>
      </c>
      <c r="G27" s="163">
        <v>773217.69</v>
      </c>
      <c r="H27" s="163">
        <v>284178.73</v>
      </c>
      <c r="I27" s="164">
        <f t="shared" si="2"/>
        <v>1057396.42</v>
      </c>
      <c r="J27" s="163">
        <v>1694037.03</v>
      </c>
      <c r="K27" s="163">
        <v>1991230.57</v>
      </c>
      <c r="L27" s="165">
        <v>118334.28</v>
      </c>
      <c r="M27" s="118">
        <f t="shared" si="3"/>
        <v>3803601.88</v>
      </c>
      <c r="N27" s="166">
        <v>1394654.02</v>
      </c>
      <c r="O27" s="166">
        <v>2232199.08</v>
      </c>
      <c r="P27" s="119">
        <v>977457.12</v>
      </c>
      <c r="Q27" s="119">
        <v>415332.09</v>
      </c>
      <c r="R27" s="119">
        <v>3875238.9399999995</v>
      </c>
      <c r="S27" s="119">
        <v>1029761.5800000001</v>
      </c>
      <c r="T27" s="119"/>
      <c r="U27" s="119"/>
      <c r="V27" s="119"/>
      <c r="W27" s="119"/>
      <c r="X27" s="119"/>
      <c r="Y27" s="119"/>
      <c r="Z27" s="119"/>
      <c r="AA27" s="119"/>
      <c r="AB27" s="119"/>
      <c r="AC27" s="127">
        <f t="shared" si="4"/>
        <v>16576237.239999996</v>
      </c>
    </row>
    <row r="28" spans="1:29" ht="21.75" customHeight="1">
      <c r="A28" s="2" t="s">
        <v>22</v>
      </c>
      <c r="B28" s="163">
        <v>500000</v>
      </c>
      <c r="C28" s="163">
        <v>275724.11</v>
      </c>
      <c r="D28" s="163">
        <v>334358.57</v>
      </c>
      <c r="E28" s="163"/>
      <c r="F28" s="164">
        <f t="shared" si="0"/>
        <v>1110082.68</v>
      </c>
      <c r="G28" s="163">
        <v>573397.39</v>
      </c>
      <c r="H28" s="163">
        <v>210739.28</v>
      </c>
      <c r="I28" s="164">
        <f t="shared" si="2"/>
        <v>784136.67</v>
      </c>
      <c r="J28" s="163">
        <v>1589212.64</v>
      </c>
      <c r="K28" s="163">
        <v>1868016.3</v>
      </c>
      <c r="L28" s="165">
        <v>111011.94</v>
      </c>
      <c r="M28" s="118">
        <f t="shared" si="3"/>
        <v>3568240.88</v>
      </c>
      <c r="N28" s="166">
        <v>1308354.99</v>
      </c>
      <c r="O28" s="166">
        <v>505528.84</v>
      </c>
      <c r="P28" s="119">
        <v>915594.19</v>
      </c>
      <c r="Q28" s="119">
        <v>373515.4</v>
      </c>
      <c r="R28" s="119">
        <v>2859082.66</v>
      </c>
      <c r="S28" s="119">
        <v>2080019.37</v>
      </c>
      <c r="T28" s="119"/>
      <c r="U28" s="119"/>
      <c r="V28" s="119"/>
      <c r="W28" s="119"/>
      <c r="X28" s="119"/>
      <c r="Y28" s="119"/>
      <c r="Z28" s="119"/>
      <c r="AA28" s="119"/>
      <c r="AB28" s="119"/>
      <c r="AC28" s="127">
        <f>U28+T28+S28+R28+Q28+P28+O28+N28+M28+I28+F28+SUM(V28:AB28)</f>
        <v>13504555.680000002</v>
      </c>
    </row>
    <row r="29" spans="1:29" ht="21.75" customHeight="1">
      <c r="A29" s="2" t="s">
        <v>23</v>
      </c>
      <c r="B29" s="163">
        <v>500000</v>
      </c>
      <c r="C29" s="163"/>
      <c r="D29" s="163"/>
      <c r="E29" s="163"/>
      <c r="F29" s="164">
        <f t="shared" si="0"/>
        <v>500000</v>
      </c>
      <c r="G29" s="163">
        <v>3275315.39</v>
      </c>
      <c r="H29" s="163">
        <v>1203768.34</v>
      </c>
      <c r="I29" s="164">
        <f t="shared" si="2"/>
        <v>4479083.73</v>
      </c>
      <c r="J29" s="163">
        <v>3006620.71</v>
      </c>
      <c r="K29" s="163">
        <v>3534087.48</v>
      </c>
      <c r="L29" s="165">
        <v>210022.74</v>
      </c>
      <c r="M29" s="118">
        <f t="shared" si="3"/>
        <v>6750730.93</v>
      </c>
      <c r="N29" s="166">
        <v>2475268.01</v>
      </c>
      <c r="O29" s="166">
        <v>0</v>
      </c>
      <c r="P29" s="119">
        <v>0</v>
      </c>
      <c r="Q29" s="119">
        <v>0</v>
      </c>
      <c r="R29" s="119">
        <v>2930701.53</v>
      </c>
      <c r="S29" s="119">
        <v>1269987.69</v>
      </c>
      <c r="T29" s="119"/>
      <c r="U29" s="119"/>
      <c r="V29" s="119"/>
      <c r="W29" s="119"/>
      <c r="X29" s="119"/>
      <c r="Y29" s="119"/>
      <c r="Z29" s="119"/>
      <c r="AA29" s="119"/>
      <c r="AB29" s="119"/>
      <c r="AC29" s="127">
        <f t="shared" si="4"/>
        <v>18405771.89</v>
      </c>
    </row>
    <row r="30" spans="1:29" ht="21.75" customHeight="1">
      <c r="A30" s="2" t="s">
        <v>24</v>
      </c>
      <c r="B30" s="163">
        <v>500000</v>
      </c>
      <c r="C30" s="163"/>
      <c r="D30" s="163"/>
      <c r="E30" s="163"/>
      <c r="F30" s="164">
        <f t="shared" si="0"/>
        <v>500000</v>
      </c>
      <c r="G30" s="163">
        <v>755842.01</v>
      </c>
      <c r="H30" s="163">
        <v>277792.69</v>
      </c>
      <c r="I30" s="164">
        <f t="shared" si="2"/>
        <v>1033634.7</v>
      </c>
      <c r="J30" s="163">
        <v>1684921.87</v>
      </c>
      <c r="K30" s="163">
        <v>1980516.28</v>
      </c>
      <c r="L30" s="165">
        <v>117697.56</v>
      </c>
      <c r="M30" s="118">
        <f t="shared" si="3"/>
        <v>3783135.7100000004</v>
      </c>
      <c r="N30" s="166">
        <v>0</v>
      </c>
      <c r="O30" s="166">
        <v>0</v>
      </c>
      <c r="P30" s="119">
        <v>0</v>
      </c>
      <c r="Q30" s="119">
        <v>0</v>
      </c>
      <c r="R30" s="119">
        <v>0</v>
      </c>
      <c r="S30" s="119">
        <v>0</v>
      </c>
      <c r="T30" s="119"/>
      <c r="U30" s="119"/>
      <c r="V30" s="119"/>
      <c r="W30" s="119"/>
      <c r="X30" s="119"/>
      <c r="Y30" s="119"/>
      <c r="Z30" s="119"/>
      <c r="AA30" s="119"/>
      <c r="AB30" s="119"/>
      <c r="AC30" s="127">
        <f t="shared" si="4"/>
        <v>5316770.41</v>
      </c>
    </row>
    <row r="31" spans="1:29" ht="21.75" customHeight="1">
      <c r="A31" s="2" t="s">
        <v>25</v>
      </c>
      <c r="B31" s="163">
        <v>500000</v>
      </c>
      <c r="C31" s="163"/>
      <c r="D31" s="163">
        <v>384258.4</v>
      </c>
      <c r="E31" s="163">
        <v>33033.5</v>
      </c>
      <c r="F31" s="164">
        <f t="shared" si="0"/>
        <v>917291.9</v>
      </c>
      <c r="G31" s="163">
        <v>1520371.86</v>
      </c>
      <c r="H31" s="163">
        <v>558778.41</v>
      </c>
      <c r="I31" s="164">
        <f t="shared" si="2"/>
        <v>2079150.27</v>
      </c>
      <c r="J31" s="163">
        <v>2085989.1</v>
      </c>
      <c r="K31" s="163">
        <v>2451944.78</v>
      </c>
      <c r="L31" s="165">
        <v>145713.48</v>
      </c>
      <c r="M31" s="118">
        <f t="shared" si="3"/>
        <v>4683647.36</v>
      </c>
      <c r="N31" s="166">
        <v>1717337.37</v>
      </c>
      <c r="O31" s="166">
        <v>2540937.0799999996</v>
      </c>
      <c r="P31" s="119">
        <v>4418335.68</v>
      </c>
      <c r="Q31" s="119">
        <v>1877398.6</v>
      </c>
      <c r="R31" s="119">
        <v>13904388.41</v>
      </c>
      <c r="S31" s="119">
        <v>0</v>
      </c>
      <c r="T31" s="119"/>
      <c r="U31" s="119"/>
      <c r="V31" s="119"/>
      <c r="W31" s="119"/>
      <c r="X31" s="119"/>
      <c r="Y31" s="119"/>
      <c r="Z31" s="119"/>
      <c r="AA31" s="119"/>
      <c r="AB31" s="119"/>
      <c r="AC31" s="127">
        <f t="shared" si="4"/>
        <v>32138486.669999994</v>
      </c>
    </row>
    <row r="32" spans="1:29" ht="21.75" customHeight="1">
      <c r="A32" s="2" t="s">
        <v>26</v>
      </c>
      <c r="B32" s="163">
        <v>500000</v>
      </c>
      <c r="C32" s="163"/>
      <c r="D32" s="163">
        <v>342944.38</v>
      </c>
      <c r="E32" s="163"/>
      <c r="F32" s="164">
        <f t="shared" si="0"/>
        <v>842944.38</v>
      </c>
      <c r="G32" s="163">
        <v>3118934.28</v>
      </c>
      <c r="H32" s="163">
        <v>1146293.99</v>
      </c>
      <c r="I32" s="164">
        <f t="shared" si="2"/>
        <v>4265228.27</v>
      </c>
      <c r="J32" s="163">
        <v>2924584.23</v>
      </c>
      <c r="K32" s="163">
        <v>3437658.92</v>
      </c>
      <c r="L32" s="165">
        <v>204292.22</v>
      </c>
      <c r="M32" s="118">
        <f t="shared" si="3"/>
        <v>6566535.37</v>
      </c>
      <c r="N32" s="166">
        <v>2407729.64</v>
      </c>
      <c r="O32" s="166">
        <v>0</v>
      </c>
      <c r="P32" s="119">
        <v>0</v>
      </c>
      <c r="Q32" s="119">
        <v>0</v>
      </c>
      <c r="R32" s="119">
        <v>554741.68</v>
      </c>
      <c r="S32" s="119">
        <v>0</v>
      </c>
      <c r="T32" s="119"/>
      <c r="U32" s="119"/>
      <c r="V32" s="119"/>
      <c r="W32" s="119"/>
      <c r="X32" s="119"/>
      <c r="Y32" s="119"/>
      <c r="Z32" s="119"/>
      <c r="AA32" s="119"/>
      <c r="AB32" s="119"/>
      <c r="AC32" s="127">
        <f t="shared" si="4"/>
        <v>14637179.340000002</v>
      </c>
    </row>
    <row r="33" spans="1:29" ht="21.75" customHeight="1">
      <c r="A33" s="2" t="s">
        <v>27</v>
      </c>
      <c r="B33" s="163">
        <v>500000</v>
      </c>
      <c r="C33" s="163">
        <v>470355.55</v>
      </c>
      <c r="D33" s="163"/>
      <c r="E33" s="163"/>
      <c r="F33" s="164">
        <f t="shared" si="0"/>
        <v>970355.55</v>
      </c>
      <c r="G33" s="163">
        <v>816656.89</v>
      </c>
      <c r="H33" s="163">
        <v>300143.83</v>
      </c>
      <c r="I33" s="164">
        <f t="shared" si="2"/>
        <v>1116800.72</v>
      </c>
      <c r="J33" s="163">
        <v>1716824.94</v>
      </c>
      <c r="K33" s="163">
        <v>2018016.28</v>
      </c>
      <c r="L33" s="165">
        <v>119926.1</v>
      </c>
      <c r="M33" s="118">
        <f t="shared" si="3"/>
        <v>3854767.32</v>
      </c>
      <c r="N33" s="166">
        <v>0</v>
      </c>
      <c r="O33" s="166">
        <v>0</v>
      </c>
      <c r="P33" s="119">
        <v>0</v>
      </c>
      <c r="Q33" s="119">
        <v>0</v>
      </c>
      <c r="R33" s="119">
        <v>0</v>
      </c>
      <c r="S33" s="119">
        <v>0</v>
      </c>
      <c r="T33" s="119"/>
      <c r="U33" s="119"/>
      <c r="V33" s="119"/>
      <c r="W33" s="119"/>
      <c r="X33" s="119"/>
      <c r="Y33" s="119"/>
      <c r="Z33" s="119"/>
      <c r="AA33" s="119"/>
      <c r="AB33" s="119"/>
      <c r="AC33" s="127">
        <f t="shared" si="4"/>
        <v>5941923.59</v>
      </c>
    </row>
    <row r="34" spans="1:29" ht="21.75" customHeight="1">
      <c r="A34" s="2" t="s">
        <v>28</v>
      </c>
      <c r="B34" s="163">
        <v>500000</v>
      </c>
      <c r="C34" s="163">
        <v>432888.58</v>
      </c>
      <c r="D34" s="163">
        <v>441626.19</v>
      </c>
      <c r="E34" s="163">
        <v>292306.51</v>
      </c>
      <c r="F34" s="164">
        <f t="shared" si="0"/>
        <v>1666821.28</v>
      </c>
      <c r="G34" s="163">
        <v>2449970.66</v>
      </c>
      <c r="H34" s="163">
        <v>900431.49</v>
      </c>
      <c r="I34" s="164">
        <f t="shared" si="2"/>
        <v>3350402.1500000004</v>
      </c>
      <c r="J34" s="163">
        <v>2573650.4</v>
      </c>
      <c r="K34" s="163">
        <v>3025158.98</v>
      </c>
      <c r="L34" s="165">
        <v>179778.29</v>
      </c>
      <c r="M34" s="118">
        <f t="shared" si="3"/>
        <v>5778587.67</v>
      </c>
      <c r="N34" s="166">
        <v>2118815.48</v>
      </c>
      <c r="O34" s="166">
        <v>2028059.7000000002</v>
      </c>
      <c r="P34" s="119">
        <v>2125877.6799999997</v>
      </c>
      <c r="Q34" s="119">
        <v>499415.09</v>
      </c>
      <c r="R34" s="119">
        <v>6799913.41</v>
      </c>
      <c r="S34" s="119">
        <v>1315921.23</v>
      </c>
      <c r="T34" s="119"/>
      <c r="U34" s="119"/>
      <c r="V34" s="119"/>
      <c r="W34" s="119"/>
      <c r="X34" s="119"/>
      <c r="Y34" s="119"/>
      <c r="Z34" s="119"/>
      <c r="AA34" s="119"/>
      <c r="AB34" s="119"/>
      <c r="AC34" s="127">
        <f t="shared" si="4"/>
        <v>25683813.689999998</v>
      </c>
    </row>
    <row r="35" spans="1:29" ht="21.75" customHeight="1">
      <c r="A35" s="2" t="s">
        <v>29</v>
      </c>
      <c r="B35" s="163">
        <v>500000</v>
      </c>
      <c r="C35" s="163">
        <v>757174.46</v>
      </c>
      <c r="D35" s="163">
        <v>1042908.5</v>
      </c>
      <c r="E35" s="163">
        <v>1160701</v>
      </c>
      <c r="F35" s="164">
        <f t="shared" si="0"/>
        <v>3460783.96</v>
      </c>
      <c r="G35" s="163">
        <v>3874776.3</v>
      </c>
      <c r="H35" s="163">
        <v>1424086.68</v>
      </c>
      <c r="I35" s="164">
        <f t="shared" si="2"/>
        <v>5298862.9799999995</v>
      </c>
      <c r="J35" s="163">
        <v>3321093.88</v>
      </c>
      <c r="K35" s="163">
        <v>3903730.28</v>
      </c>
      <c r="L35" s="165">
        <v>231989.78</v>
      </c>
      <c r="M35" s="118">
        <f t="shared" si="3"/>
        <v>7456813.94</v>
      </c>
      <c r="N35" s="166">
        <v>2734165.11</v>
      </c>
      <c r="O35" s="166">
        <v>11651769.63</v>
      </c>
      <c r="P35" s="119">
        <v>3605132.98</v>
      </c>
      <c r="Q35" s="119">
        <v>1531859.98</v>
      </c>
      <c r="R35" s="119">
        <v>4515858.390000001</v>
      </c>
      <c r="S35" s="119">
        <v>0</v>
      </c>
      <c r="T35" s="119"/>
      <c r="U35" s="119"/>
      <c r="V35" s="119"/>
      <c r="W35" s="119"/>
      <c r="X35" s="119"/>
      <c r="Y35" s="119"/>
      <c r="Z35" s="119"/>
      <c r="AA35" s="119"/>
      <c r="AB35" s="119"/>
      <c r="AC35" s="127">
        <f t="shared" si="4"/>
        <v>40255246.970000006</v>
      </c>
    </row>
    <row r="36" spans="1:29" ht="21.75" customHeight="1">
      <c r="A36" s="2" t="s">
        <v>30</v>
      </c>
      <c r="B36" s="163">
        <v>500000</v>
      </c>
      <c r="C36" s="163"/>
      <c r="D36" s="163">
        <v>399490.33</v>
      </c>
      <c r="E36" s="163">
        <v>333579.93</v>
      </c>
      <c r="F36" s="164">
        <f t="shared" si="0"/>
        <v>1233070.26</v>
      </c>
      <c r="G36" s="163">
        <v>434391.96</v>
      </c>
      <c r="H36" s="163">
        <v>159650.97</v>
      </c>
      <c r="I36" s="164">
        <f t="shared" si="2"/>
        <v>594042.93</v>
      </c>
      <c r="J36" s="163">
        <v>1516291.33</v>
      </c>
      <c r="K36" s="163">
        <v>1782302.03</v>
      </c>
      <c r="L36" s="165">
        <v>105918.13</v>
      </c>
      <c r="M36" s="118">
        <f t="shared" si="3"/>
        <v>3404511.49</v>
      </c>
      <c r="N36" s="166">
        <v>1248320.88</v>
      </c>
      <c r="O36" s="166">
        <v>0</v>
      </c>
      <c r="P36" s="119">
        <v>0</v>
      </c>
      <c r="Q36" s="119">
        <v>0</v>
      </c>
      <c r="R36" s="119">
        <v>0</v>
      </c>
      <c r="S36" s="119">
        <v>1375227.85</v>
      </c>
      <c r="T36" s="119"/>
      <c r="U36" s="119"/>
      <c r="V36" s="119"/>
      <c r="W36" s="119"/>
      <c r="X36" s="119"/>
      <c r="Y36" s="119"/>
      <c r="Z36" s="119"/>
      <c r="AA36" s="119"/>
      <c r="AB36" s="119"/>
      <c r="AC36" s="127">
        <f t="shared" si="4"/>
        <v>7855173.41</v>
      </c>
    </row>
    <row r="37" spans="1:29" ht="21.75" customHeight="1">
      <c r="A37" s="2" t="s">
        <v>31</v>
      </c>
      <c r="B37" s="163">
        <v>500000</v>
      </c>
      <c r="C37" s="163">
        <v>824545.48</v>
      </c>
      <c r="D37" s="163">
        <v>1986478.28</v>
      </c>
      <c r="E37" s="163">
        <v>1394480.98</v>
      </c>
      <c r="F37" s="164">
        <f aca="true" t="shared" si="5" ref="F37:F61">SUM(B37:E37)</f>
        <v>4705504.74</v>
      </c>
      <c r="G37" s="163">
        <v>2606351.77</v>
      </c>
      <c r="H37" s="163">
        <v>957905.84</v>
      </c>
      <c r="I37" s="164">
        <f t="shared" si="2"/>
        <v>3564257.61</v>
      </c>
      <c r="J37" s="163">
        <v>2655686.88</v>
      </c>
      <c r="K37" s="163">
        <v>3121587.54</v>
      </c>
      <c r="L37" s="165">
        <v>185508.82</v>
      </c>
      <c r="M37" s="118">
        <f t="shared" si="3"/>
        <v>5962783.24</v>
      </c>
      <c r="N37" s="166">
        <v>2181395.5700000003</v>
      </c>
      <c r="O37" s="166">
        <v>0</v>
      </c>
      <c r="P37" s="119">
        <v>0</v>
      </c>
      <c r="Q37" s="119">
        <v>0</v>
      </c>
      <c r="R37" s="119">
        <v>0</v>
      </c>
      <c r="S37" s="119">
        <v>0</v>
      </c>
      <c r="T37" s="119"/>
      <c r="U37" s="119"/>
      <c r="V37" s="119"/>
      <c r="W37" s="119"/>
      <c r="X37" s="119"/>
      <c r="Y37" s="119"/>
      <c r="Z37" s="119"/>
      <c r="AA37" s="119"/>
      <c r="AB37" s="119"/>
      <c r="AC37" s="127">
        <f t="shared" si="4"/>
        <v>16413941.16</v>
      </c>
    </row>
    <row r="38" spans="1:29" ht="21.75" customHeight="1">
      <c r="A38" s="2" t="s">
        <v>32</v>
      </c>
      <c r="B38" s="163">
        <v>500000</v>
      </c>
      <c r="C38" s="163">
        <v>1187550.39</v>
      </c>
      <c r="D38" s="163">
        <v>484309.49</v>
      </c>
      <c r="E38" s="163">
        <v>477374.37</v>
      </c>
      <c r="F38" s="164">
        <f t="shared" si="5"/>
        <v>2649234.25</v>
      </c>
      <c r="G38" s="163">
        <v>1233673.17</v>
      </c>
      <c r="H38" s="163">
        <v>453408.76</v>
      </c>
      <c r="I38" s="164">
        <f t="shared" si="2"/>
        <v>1687081.93</v>
      </c>
      <c r="J38" s="163">
        <v>1935588.89</v>
      </c>
      <c r="K38" s="163">
        <v>2275159.1</v>
      </c>
      <c r="L38" s="165">
        <v>135207.5</v>
      </c>
      <c r="M38" s="118">
        <f t="shared" si="3"/>
        <v>4345955.49</v>
      </c>
      <c r="N38" s="166">
        <v>1593517.01</v>
      </c>
      <c r="O38" s="166">
        <v>285520.82</v>
      </c>
      <c r="P38" s="119">
        <v>0</v>
      </c>
      <c r="Q38" s="119">
        <v>0</v>
      </c>
      <c r="R38" s="119">
        <v>1472343.35</v>
      </c>
      <c r="S38" s="119">
        <v>1045929.87</v>
      </c>
      <c r="T38" s="119"/>
      <c r="U38" s="119"/>
      <c r="V38" s="119"/>
      <c r="W38" s="119"/>
      <c r="X38" s="119"/>
      <c r="Y38" s="119"/>
      <c r="Z38" s="119"/>
      <c r="AA38" s="119"/>
      <c r="AB38" s="119"/>
      <c r="AC38" s="127">
        <f t="shared" si="4"/>
        <v>13079582.719999999</v>
      </c>
    </row>
    <row r="39" spans="1:29" ht="21.75" customHeight="1">
      <c r="A39" s="2" t="s">
        <v>398</v>
      </c>
      <c r="B39" s="163">
        <v>500000</v>
      </c>
      <c r="C39" s="163">
        <v>1232521.32</v>
      </c>
      <c r="D39" s="163">
        <v>501955.85</v>
      </c>
      <c r="E39" s="163">
        <v>501955.85</v>
      </c>
      <c r="F39" s="164">
        <f t="shared" si="5"/>
        <v>2736433.02</v>
      </c>
      <c r="G39" s="163">
        <v>1754943.52</v>
      </c>
      <c r="H39" s="163">
        <v>644989.93</v>
      </c>
      <c r="I39" s="164">
        <f t="shared" si="2"/>
        <v>2399933.45</v>
      </c>
      <c r="J39" s="163">
        <v>2209043.82</v>
      </c>
      <c r="K39" s="163">
        <v>2596587.62</v>
      </c>
      <c r="L39" s="165">
        <v>154309.27</v>
      </c>
      <c r="M39" s="118">
        <f t="shared" si="3"/>
        <v>4959940.709999999</v>
      </c>
      <c r="N39" s="166">
        <v>1818644.93</v>
      </c>
      <c r="O39" s="166">
        <v>4620507.399999999</v>
      </c>
      <c r="P39" s="119">
        <v>4468970.76</v>
      </c>
      <c r="Q39" s="119">
        <v>3307764.0300000003</v>
      </c>
      <c r="R39" s="119">
        <v>4468970.74</v>
      </c>
      <c r="S39" s="119">
        <v>0</v>
      </c>
      <c r="T39" s="119"/>
      <c r="U39" s="119"/>
      <c r="V39" s="119"/>
      <c r="W39" s="119"/>
      <c r="X39" s="119"/>
      <c r="Y39" s="119"/>
      <c r="Z39" s="119"/>
      <c r="AA39" s="119"/>
      <c r="AB39" s="119"/>
      <c r="AC39" s="127">
        <f t="shared" si="4"/>
        <v>28781165.04</v>
      </c>
    </row>
    <row r="40" spans="1:29" ht="21.75" customHeight="1">
      <c r="A40" s="2" t="s">
        <v>33</v>
      </c>
      <c r="B40" s="163">
        <v>500000</v>
      </c>
      <c r="C40" s="163">
        <v>586645.6</v>
      </c>
      <c r="D40" s="163">
        <v>781359.8</v>
      </c>
      <c r="E40" s="163">
        <v>439718.49</v>
      </c>
      <c r="F40" s="164">
        <f t="shared" si="5"/>
        <v>2307723.89</v>
      </c>
      <c r="G40" s="163">
        <v>3605453.28</v>
      </c>
      <c r="H40" s="163">
        <v>1325103.08</v>
      </c>
      <c r="I40" s="164">
        <f t="shared" si="2"/>
        <v>4930556.359999999</v>
      </c>
      <c r="J40" s="163">
        <v>3179808.83</v>
      </c>
      <c r="K40" s="163">
        <v>3737658.88</v>
      </c>
      <c r="L40" s="165">
        <v>222120.53</v>
      </c>
      <c r="M40" s="118">
        <f t="shared" si="3"/>
        <v>7139588.24</v>
      </c>
      <c r="N40" s="166">
        <v>1915175.56</v>
      </c>
      <c r="O40" s="166">
        <v>0</v>
      </c>
      <c r="P40" s="119">
        <v>0</v>
      </c>
      <c r="Q40" s="119">
        <v>0</v>
      </c>
      <c r="R40" s="119">
        <v>0</v>
      </c>
      <c r="S40" s="119">
        <v>0</v>
      </c>
      <c r="T40" s="119"/>
      <c r="U40" s="119"/>
      <c r="V40" s="119"/>
      <c r="W40" s="119"/>
      <c r="X40" s="119"/>
      <c r="Y40" s="119"/>
      <c r="Z40" s="119"/>
      <c r="AA40" s="119"/>
      <c r="AB40" s="119"/>
      <c r="AC40" s="127">
        <f t="shared" si="4"/>
        <v>16293044.05</v>
      </c>
    </row>
    <row r="41" spans="1:29" ht="21.75" customHeight="1">
      <c r="A41" s="2" t="s">
        <v>34</v>
      </c>
      <c r="B41" s="163">
        <v>500000</v>
      </c>
      <c r="C41" s="163"/>
      <c r="D41" s="163">
        <v>221678.34</v>
      </c>
      <c r="E41" s="163"/>
      <c r="F41" s="164">
        <f t="shared" si="5"/>
        <v>721678.34</v>
      </c>
      <c r="G41" s="163">
        <v>1251048.85</v>
      </c>
      <c r="H41" s="163">
        <v>459794.8</v>
      </c>
      <c r="I41" s="164">
        <f t="shared" si="2"/>
        <v>1710843.6500000001</v>
      </c>
      <c r="J41" s="163">
        <v>1944704.05</v>
      </c>
      <c r="K41" s="163">
        <v>2285873.38</v>
      </c>
      <c r="L41" s="165">
        <v>135844.24</v>
      </c>
      <c r="M41" s="118">
        <f t="shared" si="3"/>
        <v>4366421.67</v>
      </c>
      <c r="N41" s="166">
        <v>1601021.28</v>
      </c>
      <c r="O41" s="166">
        <v>2158305.99</v>
      </c>
      <c r="P41" s="119">
        <v>140851.9</v>
      </c>
      <c r="Q41" s="119">
        <v>59849.49</v>
      </c>
      <c r="R41" s="119">
        <v>8405566.37</v>
      </c>
      <c r="S41" s="119">
        <v>0</v>
      </c>
      <c r="T41" s="119"/>
      <c r="U41" s="119"/>
      <c r="V41" s="119"/>
      <c r="W41" s="119"/>
      <c r="X41" s="119"/>
      <c r="Y41" s="119"/>
      <c r="Z41" s="119"/>
      <c r="AA41" s="119"/>
      <c r="AB41" s="119"/>
      <c r="AC41" s="127">
        <f t="shared" si="4"/>
        <v>19164538.689999998</v>
      </c>
    </row>
    <row r="42" spans="1:29" ht="21.75" customHeight="1">
      <c r="A42" s="2" t="s">
        <v>35</v>
      </c>
      <c r="B42" s="163">
        <v>500000</v>
      </c>
      <c r="C42" s="163"/>
      <c r="D42" s="163"/>
      <c r="E42" s="163">
        <v>265784.67</v>
      </c>
      <c r="F42" s="164">
        <f t="shared" si="5"/>
        <v>765784.6699999999</v>
      </c>
      <c r="G42" s="163">
        <v>156381.11</v>
      </c>
      <c r="H42" s="163">
        <v>57474.35</v>
      </c>
      <c r="I42" s="164">
        <f t="shared" si="2"/>
        <v>213855.46</v>
      </c>
      <c r="J42" s="163">
        <v>1370448.69</v>
      </c>
      <c r="K42" s="163">
        <v>1610873.48</v>
      </c>
      <c r="L42" s="165">
        <v>95730.54</v>
      </c>
      <c r="M42" s="118">
        <f t="shared" si="3"/>
        <v>3077052.71</v>
      </c>
      <c r="N42" s="166">
        <v>1128252.66</v>
      </c>
      <c r="O42" s="166">
        <v>1396096.76</v>
      </c>
      <c r="P42" s="119">
        <v>0</v>
      </c>
      <c r="Q42" s="119">
        <v>0</v>
      </c>
      <c r="R42" s="119">
        <v>185471.7</v>
      </c>
      <c r="S42" s="119">
        <v>715259.26</v>
      </c>
      <c r="T42" s="119"/>
      <c r="U42" s="119"/>
      <c r="V42" s="119"/>
      <c r="W42" s="119"/>
      <c r="X42" s="119"/>
      <c r="Y42" s="119"/>
      <c r="Z42" s="119"/>
      <c r="AA42" s="119"/>
      <c r="AB42" s="119"/>
      <c r="AC42" s="127">
        <f t="shared" si="4"/>
        <v>7481773.22</v>
      </c>
    </row>
    <row r="43" spans="1:29" ht="21.75" customHeight="1">
      <c r="A43" s="2" t="s">
        <v>36</v>
      </c>
      <c r="B43" s="163">
        <v>500000</v>
      </c>
      <c r="C43" s="163"/>
      <c r="D43" s="163">
        <v>219892.43</v>
      </c>
      <c r="E43" s="163">
        <v>246557.89</v>
      </c>
      <c r="F43" s="164">
        <f t="shared" si="5"/>
        <v>966450.32</v>
      </c>
      <c r="G43" s="163">
        <v>269323.02</v>
      </c>
      <c r="H43" s="163">
        <v>98983.6</v>
      </c>
      <c r="I43" s="164">
        <f t="shared" si="2"/>
        <v>368306.62</v>
      </c>
      <c r="J43" s="163">
        <v>1429697.26</v>
      </c>
      <c r="K43" s="163">
        <v>1680516.33</v>
      </c>
      <c r="L43" s="165">
        <v>99869.25</v>
      </c>
      <c r="M43" s="118">
        <f t="shared" si="3"/>
        <v>3210082.84</v>
      </c>
      <c r="N43" s="166">
        <v>1177030.37</v>
      </c>
      <c r="O43" s="166">
        <v>0</v>
      </c>
      <c r="P43" s="119">
        <v>0</v>
      </c>
      <c r="Q43" s="119">
        <v>0</v>
      </c>
      <c r="R43" s="119">
        <v>47730.17</v>
      </c>
      <c r="S43" s="119">
        <v>0</v>
      </c>
      <c r="T43" s="119"/>
      <c r="U43" s="119"/>
      <c r="V43" s="119"/>
      <c r="W43" s="119"/>
      <c r="X43" s="119"/>
      <c r="Y43" s="119"/>
      <c r="Z43" s="119"/>
      <c r="AA43" s="119"/>
      <c r="AB43" s="119"/>
      <c r="AC43" s="127">
        <f t="shared" si="4"/>
        <v>5769600.32</v>
      </c>
    </row>
    <row r="44" spans="1:29" ht="21.75" customHeight="1">
      <c r="A44" s="2" t="s">
        <v>37</v>
      </c>
      <c r="B44" s="163">
        <v>500000</v>
      </c>
      <c r="C44" s="163"/>
      <c r="D44" s="163"/>
      <c r="E44" s="163"/>
      <c r="F44" s="164">
        <f t="shared" si="5"/>
        <v>500000</v>
      </c>
      <c r="G44" s="163">
        <v>1363990.76</v>
      </c>
      <c r="H44" s="163">
        <v>501304.06</v>
      </c>
      <c r="I44" s="164">
        <f t="shared" si="2"/>
        <v>1865294.82</v>
      </c>
      <c r="J44" s="163">
        <v>2003952.62</v>
      </c>
      <c r="K44" s="163">
        <v>2355516.23</v>
      </c>
      <c r="L44" s="165">
        <v>139982.95</v>
      </c>
      <c r="M44" s="118">
        <f t="shared" si="3"/>
        <v>4499451.8</v>
      </c>
      <c r="N44" s="166">
        <v>0</v>
      </c>
      <c r="O44" s="166">
        <v>0</v>
      </c>
      <c r="P44" s="119">
        <v>0</v>
      </c>
      <c r="Q44" s="119">
        <v>0</v>
      </c>
      <c r="R44" s="119">
        <v>0</v>
      </c>
      <c r="S44" s="119">
        <v>0</v>
      </c>
      <c r="T44" s="119"/>
      <c r="U44" s="119"/>
      <c r="V44" s="119"/>
      <c r="W44" s="119"/>
      <c r="X44" s="119"/>
      <c r="Y44" s="119"/>
      <c r="Z44" s="119"/>
      <c r="AA44" s="119"/>
      <c r="AB44" s="119"/>
      <c r="AC44" s="127">
        <f t="shared" si="4"/>
        <v>6864746.62</v>
      </c>
    </row>
    <row r="45" spans="1:29" ht="21.75" customHeight="1">
      <c r="A45" s="2" t="s">
        <v>38</v>
      </c>
      <c r="B45" s="163">
        <v>500000</v>
      </c>
      <c r="C45" s="163">
        <v>2364632.87</v>
      </c>
      <c r="D45" s="163">
        <v>4190188</v>
      </c>
      <c r="E45" s="163">
        <v>2936803.7</v>
      </c>
      <c r="F45" s="164">
        <f t="shared" si="5"/>
        <v>9991624.57</v>
      </c>
      <c r="G45" s="163">
        <v>2302277.4</v>
      </c>
      <c r="H45" s="163">
        <v>846150.16</v>
      </c>
      <c r="I45" s="164">
        <f t="shared" si="2"/>
        <v>3148427.56</v>
      </c>
      <c r="J45" s="163">
        <v>2496171.5</v>
      </c>
      <c r="K45" s="163">
        <v>2934087.57</v>
      </c>
      <c r="L45" s="165">
        <v>174366.12</v>
      </c>
      <c r="M45" s="118">
        <f t="shared" si="3"/>
        <v>5604625.19</v>
      </c>
      <c r="N45" s="166">
        <v>2055029.24</v>
      </c>
      <c r="O45" s="166">
        <v>3279792.7</v>
      </c>
      <c r="P45" s="119">
        <v>599002.27</v>
      </c>
      <c r="Q45" s="119">
        <v>0</v>
      </c>
      <c r="R45" s="119">
        <v>5877732.93</v>
      </c>
      <c r="S45" s="119">
        <v>2443087.2600000002</v>
      </c>
      <c r="T45" s="119"/>
      <c r="U45" s="119"/>
      <c r="V45" s="119"/>
      <c r="W45" s="119"/>
      <c r="X45" s="119"/>
      <c r="Y45" s="119"/>
      <c r="Z45" s="119"/>
      <c r="AA45" s="119"/>
      <c r="AB45" s="119"/>
      <c r="AC45" s="127">
        <f t="shared" si="4"/>
        <v>32999321.72</v>
      </c>
    </row>
    <row r="46" spans="1:29" ht="21.75" customHeight="1">
      <c r="A46" s="2" t="s">
        <v>39</v>
      </c>
      <c r="B46" s="163">
        <v>500000</v>
      </c>
      <c r="C46" s="163">
        <v>1012299.72</v>
      </c>
      <c r="D46" s="163">
        <v>659794.59</v>
      </c>
      <c r="E46" s="163"/>
      <c r="F46" s="164">
        <f t="shared" si="5"/>
        <v>2172094.31</v>
      </c>
      <c r="G46" s="163">
        <v>2528161.22</v>
      </c>
      <c r="H46" s="163">
        <v>929168.66</v>
      </c>
      <c r="I46" s="164">
        <f t="shared" si="2"/>
        <v>3457329.8800000004</v>
      </c>
      <c r="J46" s="163">
        <v>2614668.64</v>
      </c>
      <c r="K46" s="163">
        <v>3073373.26</v>
      </c>
      <c r="L46" s="165">
        <v>182643.55</v>
      </c>
      <c r="M46" s="118">
        <f t="shared" si="3"/>
        <v>5870685.45</v>
      </c>
      <c r="N46" s="166">
        <v>0</v>
      </c>
      <c r="O46" s="166">
        <v>0</v>
      </c>
      <c r="P46" s="119">
        <v>0</v>
      </c>
      <c r="Q46" s="119">
        <v>0</v>
      </c>
      <c r="R46" s="119">
        <v>0</v>
      </c>
      <c r="S46" s="119">
        <v>0</v>
      </c>
      <c r="T46" s="119"/>
      <c r="U46" s="119"/>
      <c r="V46" s="119"/>
      <c r="W46" s="119"/>
      <c r="X46" s="119"/>
      <c r="Y46" s="119"/>
      <c r="Z46" s="119"/>
      <c r="AA46" s="119"/>
      <c r="AB46" s="119"/>
      <c r="AC46" s="127">
        <f t="shared" si="4"/>
        <v>11500109.64</v>
      </c>
    </row>
    <row r="47" spans="1:29" ht="21.75" customHeight="1">
      <c r="A47" s="2" t="s">
        <v>40</v>
      </c>
      <c r="B47" s="163">
        <v>500000</v>
      </c>
      <c r="C47" s="163">
        <v>518995.76</v>
      </c>
      <c r="D47" s="163">
        <v>1349445.13</v>
      </c>
      <c r="E47" s="163">
        <v>998812.11</v>
      </c>
      <c r="F47" s="164">
        <f t="shared" si="5"/>
        <v>3367252.9999999995</v>
      </c>
      <c r="G47" s="163">
        <v>2389155.79</v>
      </c>
      <c r="H47" s="163">
        <v>878080.35</v>
      </c>
      <c r="I47" s="164">
        <f t="shared" si="2"/>
        <v>3267236.14</v>
      </c>
      <c r="J47" s="163">
        <v>2541747.32</v>
      </c>
      <c r="K47" s="163">
        <v>2987658.99</v>
      </c>
      <c r="L47" s="165">
        <v>177549.75</v>
      </c>
      <c r="M47" s="118">
        <f t="shared" si="3"/>
        <v>5706956.0600000005</v>
      </c>
      <c r="N47" s="166">
        <v>2092550.56</v>
      </c>
      <c r="O47" s="166">
        <v>0</v>
      </c>
      <c r="P47" s="119">
        <v>0</v>
      </c>
      <c r="Q47" s="119">
        <v>0</v>
      </c>
      <c r="R47" s="119">
        <v>2562430.52</v>
      </c>
      <c r="S47" s="119">
        <v>2033703.19</v>
      </c>
      <c r="T47" s="119"/>
      <c r="U47" s="119"/>
      <c r="V47" s="119"/>
      <c r="W47" s="119"/>
      <c r="X47" s="119"/>
      <c r="Y47" s="119"/>
      <c r="Z47" s="119"/>
      <c r="AA47" s="119"/>
      <c r="AB47" s="119"/>
      <c r="AC47" s="127">
        <f t="shared" si="4"/>
        <v>19030129.47</v>
      </c>
    </row>
    <row r="48" spans="1:29" ht="21.75" customHeight="1">
      <c r="A48" s="2" t="s">
        <v>41</v>
      </c>
      <c r="B48" s="163">
        <v>500000</v>
      </c>
      <c r="C48" s="163"/>
      <c r="D48" s="163"/>
      <c r="E48" s="163">
        <v>608700.69</v>
      </c>
      <c r="F48" s="164">
        <f t="shared" si="5"/>
        <v>1108700.69</v>
      </c>
      <c r="G48" s="163">
        <v>1085979.9</v>
      </c>
      <c r="H48" s="163">
        <v>399127.43</v>
      </c>
      <c r="I48" s="164">
        <f t="shared" si="2"/>
        <v>1485107.3299999998</v>
      </c>
      <c r="J48" s="163">
        <v>2427807.77</v>
      </c>
      <c r="K48" s="163">
        <v>2853730.44</v>
      </c>
      <c r="L48" s="165">
        <v>169590.68</v>
      </c>
      <c r="M48" s="118">
        <f t="shared" si="3"/>
        <v>5451128.89</v>
      </c>
      <c r="N48" s="166">
        <v>1998747.26</v>
      </c>
      <c r="O48" s="166">
        <v>0</v>
      </c>
      <c r="P48" s="119">
        <v>0</v>
      </c>
      <c r="Q48" s="119">
        <v>0</v>
      </c>
      <c r="R48" s="119">
        <v>2228902.53</v>
      </c>
      <c r="S48" s="119">
        <v>2013800.48</v>
      </c>
      <c r="T48" s="119"/>
      <c r="U48" s="119"/>
      <c r="V48" s="119"/>
      <c r="W48" s="119"/>
      <c r="X48" s="119"/>
      <c r="Y48" s="119"/>
      <c r="Z48" s="119"/>
      <c r="AA48" s="119"/>
      <c r="AB48" s="119"/>
      <c r="AC48" s="127">
        <f t="shared" si="4"/>
        <v>14286387.18</v>
      </c>
    </row>
    <row r="49" spans="1:29" ht="21.75" customHeight="1">
      <c r="A49" s="2" t="s">
        <v>42</v>
      </c>
      <c r="B49" s="163">
        <v>500000</v>
      </c>
      <c r="C49" s="163"/>
      <c r="D49" s="163"/>
      <c r="E49" s="163"/>
      <c r="F49" s="164">
        <f t="shared" si="5"/>
        <v>500000</v>
      </c>
      <c r="G49" s="163">
        <v>1502996.19</v>
      </c>
      <c r="H49" s="163">
        <v>552392.37</v>
      </c>
      <c r="I49" s="164">
        <f t="shared" si="2"/>
        <v>2055388.56</v>
      </c>
      <c r="J49" s="163">
        <v>2076873.94</v>
      </c>
      <c r="K49" s="163">
        <v>2441230.5</v>
      </c>
      <c r="L49" s="165">
        <v>145076.75</v>
      </c>
      <c r="M49" s="118">
        <f t="shared" si="3"/>
        <v>4663181.1899999995</v>
      </c>
      <c r="N49" s="166">
        <v>1709833.1</v>
      </c>
      <c r="O49" s="166">
        <v>1732870.3199999998</v>
      </c>
      <c r="P49" s="119">
        <v>2716865.94</v>
      </c>
      <c r="Q49" s="119">
        <v>3507205.48</v>
      </c>
      <c r="R49" s="119">
        <v>7693770.71</v>
      </c>
      <c r="S49" s="119">
        <v>0</v>
      </c>
      <c r="T49" s="119"/>
      <c r="U49" s="119"/>
      <c r="V49" s="119"/>
      <c r="W49" s="119"/>
      <c r="X49" s="119"/>
      <c r="Y49" s="119"/>
      <c r="Z49" s="119"/>
      <c r="AA49" s="119"/>
      <c r="AB49" s="119"/>
      <c r="AC49" s="127">
        <f t="shared" si="4"/>
        <v>24579115.3</v>
      </c>
    </row>
    <row r="50" spans="1:29" ht="21.75" customHeight="1">
      <c r="A50" s="2" t="s">
        <v>43</v>
      </c>
      <c r="B50" s="163">
        <v>500000</v>
      </c>
      <c r="C50" s="163">
        <v>523996.47</v>
      </c>
      <c r="D50" s="163"/>
      <c r="E50" s="163">
        <v>788513.68</v>
      </c>
      <c r="F50" s="164">
        <f t="shared" si="5"/>
        <v>1812510.15</v>
      </c>
      <c r="G50" s="163">
        <v>3596765.44</v>
      </c>
      <c r="H50" s="163">
        <v>1321910.06</v>
      </c>
      <c r="I50" s="164">
        <f t="shared" si="2"/>
        <v>4918675.5</v>
      </c>
      <c r="J50" s="163">
        <v>3175251.25</v>
      </c>
      <c r="K50" s="163">
        <v>3732301.73</v>
      </c>
      <c r="L50" s="165">
        <v>221802.17</v>
      </c>
      <c r="M50" s="118">
        <f t="shared" si="3"/>
        <v>7129355.15</v>
      </c>
      <c r="N50" s="166">
        <v>2614096.89</v>
      </c>
      <c r="O50" s="166">
        <v>1603735.49</v>
      </c>
      <c r="P50" s="119">
        <v>1109786.09</v>
      </c>
      <c r="Q50" s="119">
        <v>1480221.8900000001</v>
      </c>
      <c r="R50" s="119">
        <v>3519440.1</v>
      </c>
      <c r="S50" s="119">
        <v>1104624.48</v>
      </c>
      <c r="T50" s="119"/>
      <c r="U50" s="119"/>
      <c r="V50" s="119"/>
      <c r="W50" s="119"/>
      <c r="X50" s="119"/>
      <c r="Y50" s="119"/>
      <c r="Z50" s="119"/>
      <c r="AA50" s="119"/>
      <c r="AB50" s="119"/>
      <c r="AC50" s="127">
        <f t="shared" si="4"/>
        <v>25292445.740000002</v>
      </c>
    </row>
    <row r="51" spans="1:29" ht="21.75" customHeight="1">
      <c r="A51" s="2" t="s">
        <v>44</v>
      </c>
      <c r="B51" s="163">
        <v>500000</v>
      </c>
      <c r="C51" s="163">
        <v>772448.18</v>
      </c>
      <c r="D51" s="163">
        <v>746142</v>
      </c>
      <c r="E51" s="163">
        <v>870449.52</v>
      </c>
      <c r="F51" s="164">
        <f t="shared" si="5"/>
        <v>2889039.7</v>
      </c>
      <c r="G51" s="163">
        <v>4786999.41</v>
      </c>
      <c r="H51" s="163">
        <v>1759353.73</v>
      </c>
      <c r="I51" s="164">
        <f t="shared" si="2"/>
        <v>6546353.140000001</v>
      </c>
      <c r="J51" s="163">
        <v>3799640.01</v>
      </c>
      <c r="K51" s="163">
        <v>4466230.19</v>
      </c>
      <c r="L51" s="165">
        <v>265417.87</v>
      </c>
      <c r="M51" s="118">
        <f t="shared" si="3"/>
        <v>8531288.07</v>
      </c>
      <c r="N51" s="166">
        <v>3128138.96</v>
      </c>
      <c r="O51" s="166">
        <v>5045360.12</v>
      </c>
      <c r="P51" s="119">
        <v>4709714.66</v>
      </c>
      <c r="Q51" s="119">
        <v>1224244.8</v>
      </c>
      <c r="R51" s="119">
        <v>15325936.84</v>
      </c>
      <c r="S51" s="119">
        <v>5421601.75</v>
      </c>
      <c r="T51" s="119"/>
      <c r="U51" s="119"/>
      <c r="V51" s="119"/>
      <c r="W51" s="119"/>
      <c r="X51" s="119"/>
      <c r="Y51" s="119"/>
      <c r="Z51" s="119"/>
      <c r="AA51" s="119"/>
      <c r="AB51" s="119"/>
      <c r="AC51" s="127">
        <f t="shared" si="4"/>
        <v>52821678.04000001</v>
      </c>
    </row>
    <row r="52" spans="1:29" ht="21.75" customHeight="1">
      <c r="A52" s="2" t="s">
        <v>45</v>
      </c>
      <c r="B52" s="163">
        <v>500000</v>
      </c>
      <c r="C52" s="163"/>
      <c r="D52" s="163">
        <v>915614.4</v>
      </c>
      <c r="E52" s="163">
        <v>477029.89</v>
      </c>
      <c r="F52" s="164">
        <f t="shared" si="5"/>
        <v>1892644.29</v>
      </c>
      <c r="G52" s="163">
        <v>1928700.31</v>
      </c>
      <c r="H52" s="163">
        <v>708850.32</v>
      </c>
      <c r="I52" s="164">
        <f t="shared" si="2"/>
        <v>2637550.63</v>
      </c>
      <c r="J52" s="163">
        <v>2300195.47</v>
      </c>
      <c r="K52" s="163">
        <v>2703730.46</v>
      </c>
      <c r="L52" s="165">
        <v>160676.52</v>
      </c>
      <c r="M52" s="118">
        <f t="shared" si="3"/>
        <v>5164602.449999999</v>
      </c>
      <c r="N52" s="166">
        <v>1893687.57</v>
      </c>
      <c r="O52" s="166">
        <v>2363753.4</v>
      </c>
      <c r="P52" s="119">
        <v>481463.49</v>
      </c>
      <c r="Q52" s="119">
        <v>714448.75</v>
      </c>
      <c r="R52" s="119">
        <v>1949316.58</v>
      </c>
      <c r="S52" s="119">
        <v>0</v>
      </c>
      <c r="T52" s="119"/>
      <c r="U52" s="119"/>
      <c r="V52" s="119"/>
      <c r="W52" s="119"/>
      <c r="X52" s="119"/>
      <c r="Y52" s="119"/>
      <c r="Z52" s="119"/>
      <c r="AA52" s="119"/>
      <c r="AB52" s="119"/>
      <c r="AC52" s="127">
        <f t="shared" si="4"/>
        <v>17097467.16</v>
      </c>
    </row>
    <row r="53" spans="1:29" ht="21.75" customHeight="1">
      <c r="A53" s="2" t="s">
        <v>46</v>
      </c>
      <c r="B53" s="163">
        <v>500000</v>
      </c>
      <c r="C53" s="163"/>
      <c r="D53" s="163">
        <v>90710.35</v>
      </c>
      <c r="E53" s="163">
        <v>616065.85</v>
      </c>
      <c r="F53" s="164">
        <f t="shared" si="5"/>
        <v>1206776.2</v>
      </c>
      <c r="G53" s="163">
        <v>1476932.67</v>
      </c>
      <c r="H53" s="163">
        <v>542813.31</v>
      </c>
      <c r="I53" s="164">
        <f t="shared" si="2"/>
        <v>2019745.98</v>
      </c>
      <c r="J53" s="163">
        <v>2063201.19</v>
      </c>
      <c r="K53" s="163">
        <v>2425159.07</v>
      </c>
      <c r="L53" s="165">
        <v>144121.67</v>
      </c>
      <c r="M53" s="118">
        <f t="shared" si="3"/>
        <v>4632481.93</v>
      </c>
      <c r="N53" s="166">
        <v>1698576.71</v>
      </c>
      <c r="O53" s="166">
        <v>0</v>
      </c>
      <c r="P53" s="119">
        <v>0</v>
      </c>
      <c r="Q53" s="119">
        <v>14164424.56</v>
      </c>
      <c r="R53" s="119">
        <v>2842886.71</v>
      </c>
      <c r="S53" s="119">
        <v>0</v>
      </c>
      <c r="T53" s="119"/>
      <c r="U53" s="119"/>
      <c r="V53" s="119"/>
      <c r="W53" s="119"/>
      <c r="X53" s="119"/>
      <c r="Y53" s="119"/>
      <c r="Z53" s="119"/>
      <c r="AA53" s="119"/>
      <c r="AB53" s="119"/>
      <c r="AC53" s="127">
        <f t="shared" si="4"/>
        <v>26564892.09</v>
      </c>
    </row>
    <row r="54" spans="1:29" ht="21.75" customHeight="1">
      <c r="A54" s="2" t="s">
        <v>70</v>
      </c>
      <c r="B54" s="163">
        <v>500000</v>
      </c>
      <c r="C54" s="163"/>
      <c r="D54" s="163">
        <v>161345.87</v>
      </c>
      <c r="E54" s="163"/>
      <c r="F54" s="164">
        <f t="shared" si="5"/>
        <v>661345.87</v>
      </c>
      <c r="G54" s="163">
        <v>946974.48</v>
      </c>
      <c r="H54" s="163">
        <v>348039.12</v>
      </c>
      <c r="I54" s="164">
        <f t="shared" si="2"/>
        <v>1295013.6</v>
      </c>
      <c r="J54" s="163">
        <v>1785188.68</v>
      </c>
      <c r="K54" s="163">
        <v>2098373.41</v>
      </c>
      <c r="L54" s="165">
        <v>124701.53</v>
      </c>
      <c r="M54" s="118">
        <f t="shared" si="3"/>
        <v>4008263.6199999996</v>
      </c>
      <c r="N54" s="166">
        <v>1469696.66</v>
      </c>
      <c r="O54" s="166">
        <v>1544078.3599999999</v>
      </c>
      <c r="P54" s="119">
        <v>353133.53</v>
      </c>
      <c r="Q54" s="119">
        <v>0</v>
      </c>
      <c r="R54" s="119">
        <v>2564430.18</v>
      </c>
      <c r="S54" s="119">
        <v>961438.05</v>
      </c>
      <c r="T54" s="119"/>
      <c r="U54" s="119"/>
      <c r="V54" s="119"/>
      <c r="W54" s="119"/>
      <c r="X54" s="119"/>
      <c r="Y54" s="119"/>
      <c r="Z54" s="119"/>
      <c r="AA54" s="119"/>
      <c r="AB54" s="119"/>
      <c r="AC54" s="127">
        <f t="shared" si="4"/>
        <v>12857399.87</v>
      </c>
    </row>
    <row r="55" spans="1:29" ht="21.75" customHeight="1">
      <c r="A55" s="2" t="s">
        <v>47</v>
      </c>
      <c r="B55" s="163">
        <v>1632874.9</v>
      </c>
      <c r="C55" s="163">
        <v>3571646.73</v>
      </c>
      <c r="D55" s="163">
        <v>4204215.91</v>
      </c>
      <c r="E55" s="163"/>
      <c r="F55" s="164">
        <f t="shared" si="5"/>
        <v>9408737.54</v>
      </c>
      <c r="G55" s="163">
        <v>2562912.57</v>
      </c>
      <c r="H55" s="163">
        <v>941940.74</v>
      </c>
      <c r="I55" s="164">
        <f t="shared" si="2"/>
        <v>3504853.3099999996</v>
      </c>
      <c r="J55" s="163">
        <v>2632898.97</v>
      </c>
      <c r="K55" s="163">
        <v>3094801.83</v>
      </c>
      <c r="L55" s="165">
        <v>183917</v>
      </c>
      <c r="M55" s="118">
        <f t="shared" si="3"/>
        <v>5911617.800000001</v>
      </c>
      <c r="N55" s="166">
        <v>1579762.04</v>
      </c>
      <c r="O55" s="166">
        <v>0</v>
      </c>
      <c r="P55" s="119">
        <v>0</v>
      </c>
      <c r="Q55" s="119">
        <v>0</v>
      </c>
      <c r="R55" s="119">
        <v>0</v>
      </c>
      <c r="S55" s="119">
        <v>0</v>
      </c>
      <c r="T55" s="119"/>
      <c r="U55" s="119"/>
      <c r="V55" s="119"/>
      <c r="W55" s="119"/>
      <c r="X55" s="119"/>
      <c r="Y55" s="119"/>
      <c r="Z55" s="119"/>
      <c r="AA55" s="119"/>
      <c r="AB55" s="119"/>
      <c r="AC55" s="127">
        <f t="shared" si="4"/>
        <v>20404970.689999998</v>
      </c>
    </row>
    <row r="56" spans="1:29" ht="21.75" customHeight="1">
      <c r="A56" s="2" t="s">
        <v>48</v>
      </c>
      <c r="B56" s="163">
        <v>500000</v>
      </c>
      <c r="C56" s="163"/>
      <c r="D56" s="163"/>
      <c r="E56" s="163"/>
      <c r="F56" s="164">
        <f t="shared" si="5"/>
        <v>500000</v>
      </c>
      <c r="G56" s="163">
        <v>1520371.86</v>
      </c>
      <c r="H56" s="163">
        <v>558778.41</v>
      </c>
      <c r="I56" s="164">
        <f t="shared" si="2"/>
        <v>2079150.27</v>
      </c>
      <c r="J56" s="163">
        <v>2085989.1</v>
      </c>
      <c r="K56" s="163">
        <v>2451944.78</v>
      </c>
      <c r="L56" s="165">
        <v>145713.48</v>
      </c>
      <c r="M56" s="118">
        <f t="shared" si="3"/>
        <v>4683647.36</v>
      </c>
      <c r="N56" s="166">
        <v>1717337.37</v>
      </c>
      <c r="O56" s="166">
        <v>7481435.5600000005</v>
      </c>
      <c r="P56" s="119">
        <v>3473392.95</v>
      </c>
      <c r="Q56" s="119">
        <v>2889793.37</v>
      </c>
      <c r="R56" s="119">
        <v>3239523.71</v>
      </c>
      <c r="S56" s="119">
        <v>0</v>
      </c>
      <c r="T56" s="119"/>
      <c r="U56" s="119"/>
      <c r="V56" s="119"/>
      <c r="W56" s="119"/>
      <c r="X56" s="119"/>
      <c r="Y56" s="119"/>
      <c r="Z56" s="119"/>
      <c r="AA56" s="119"/>
      <c r="AB56" s="119"/>
      <c r="AC56" s="127">
        <f t="shared" si="4"/>
        <v>26064280.590000004</v>
      </c>
    </row>
    <row r="57" spans="1:29" ht="21.75" customHeight="1">
      <c r="A57" s="2" t="s">
        <v>49</v>
      </c>
      <c r="B57" s="163">
        <v>500000</v>
      </c>
      <c r="C57" s="163">
        <v>2314276.72</v>
      </c>
      <c r="D57" s="163">
        <v>2662997.21</v>
      </c>
      <c r="E57" s="163">
        <v>3199862.83</v>
      </c>
      <c r="F57" s="164">
        <f t="shared" si="5"/>
        <v>8677136.76</v>
      </c>
      <c r="G57" s="163">
        <v>2224086.84</v>
      </c>
      <c r="H57" s="163">
        <v>817412.98</v>
      </c>
      <c r="I57" s="164">
        <f t="shared" si="2"/>
        <v>3041499.82</v>
      </c>
      <c r="J57" s="163">
        <v>2455153.26</v>
      </c>
      <c r="K57" s="163">
        <v>2885873.29</v>
      </c>
      <c r="L57" s="165">
        <v>171500.86</v>
      </c>
      <c r="M57" s="118">
        <f t="shared" si="3"/>
        <v>5512527.41</v>
      </c>
      <c r="N57" s="166">
        <v>0</v>
      </c>
      <c r="O57" s="166">
        <v>0</v>
      </c>
      <c r="P57" s="119">
        <v>0</v>
      </c>
      <c r="Q57" s="119">
        <v>0</v>
      </c>
      <c r="R57" s="119">
        <v>0</v>
      </c>
      <c r="S57" s="119">
        <v>0</v>
      </c>
      <c r="T57" s="119"/>
      <c r="U57" s="119"/>
      <c r="V57" s="119"/>
      <c r="W57" s="119"/>
      <c r="X57" s="119"/>
      <c r="Y57" s="119"/>
      <c r="Z57" s="119"/>
      <c r="AA57" s="119"/>
      <c r="AB57" s="119"/>
      <c r="AC57" s="127">
        <f t="shared" si="4"/>
        <v>17231163.990000002</v>
      </c>
    </row>
    <row r="58" spans="1:29" ht="21.75" customHeight="1">
      <c r="A58" s="2" t="s">
        <v>50</v>
      </c>
      <c r="B58" s="163">
        <v>500000</v>
      </c>
      <c r="C58" s="163">
        <v>848716.15</v>
      </c>
      <c r="D58" s="163"/>
      <c r="E58" s="163"/>
      <c r="F58" s="164">
        <f t="shared" si="5"/>
        <v>1348716.15</v>
      </c>
      <c r="G58" s="163">
        <v>443079.8</v>
      </c>
      <c r="H58" s="163">
        <v>162843.99</v>
      </c>
      <c r="I58" s="164">
        <f t="shared" si="2"/>
        <v>605923.79</v>
      </c>
      <c r="J58" s="163">
        <v>1520848.91</v>
      </c>
      <c r="K58" s="163">
        <v>1787659.17</v>
      </c>
      <c r="L58" s="165">
        <v>106236.5</v>
      </c>
      <c r="M58" s="118">
        <f t="shared" si="3"/>
        <v>3414744.58</v>
      </c>
      <c r="N58" s="166">
        <v>1252073.01</v>
      </c>
      <c r="O58" s="166">
        <v>0</v>
      </c>
      <c r="P58" s="119">
        <v>0</v>
      </c>
      <c r="Q58" s="119">
        <v>0</v>
      </c>
      <c r="R58" s="119">
        <v>5655743.000000001</v>
      </c>
      <c r="S58" s="119">
        <v>1285414.44</v>
      </c>
      <c r="T58" s="119"/>
      <c r="U58" s="119"/>
      <c r="V58" s="119"/>
      <c r="W58" s="119"/>
      <c r="X58" s="119"/>
      <c r="Y58" s="119"/>
      <c r="Z58" s="119"/>
      <c r="AA58" s="119"/>
      <c r="AB58" s="119"/>
      <c r="AC58" s="127">
        <f t="shared" si="4"/>
        <v>13562614.97</v>
      </c>
    </row>
    <row r="59" spans="1:29" ht="21.75" customHeight="1">
      <c r="A59" s="2" t="s">
        <v>51</v>
      </c>
      <c r="B59" s="163">
        <v>500000</v>
      </c>
      <c r="C59" s="163">
        <v>580581.06</v>
      </c>
      <c r="D59" s="163">
        <v>152567.18</v>
      </c>
      <c r="E59" s="163">
        <v>259526.76</v>
      </c>
      <c r="F59" s="164">
        <f t="shared" si="5"/>
        <v>1492675</v>
      </c>
      <c r="G59" s="163">
        <v>747154.17</v>
      </c>
      <c r="H59" s="163">
        <v>274599.67</v>
      </c>
      <c r="I59" s="164">
        <f t="shared" si="2"/>
        <v>1021753.8400000001</v>
      </c>
      <c r="J59" s="163">
        <v>1680364.28</v>
      </c>
      <c r="K59" s="163">
        <v>1975159.14</v>
      </c>
      <c r="L59" s="165">
        <v>117379.2</v>
      </c>
      <c r="M59" s="118">
        <f t="shared" si="3"/>
        <v>3772902.62</v>
      </c>
      <c r="N59" s="166">
        <v>1383397.6300000001</v>
      </c>
      <c r="O59" s="166">
        <v>0</v>
      </c>
      <c r="P59" s="119">
        <v>0</v>
      </c>
      <c r="Q59" s="119">
        <v>0</v>
      </c>
      <c r="R59" s="119">
        <v>0</v>
      </c>
      <c r="S59" s="119">
        <v>1020762.23</v>
      </c>
      <c r="T59" s="119"/>
      <c r="U59" s="119"/>
      <c r="V59" s="119"/>
      <c r="W59" s="119"/>
      <c r="X59" s="119"/>
      <c r="Y59" s="119"/>
      <c r="Z59" s="119"/>
      <c r="AA59" s="119"/>
      <c r="AB59" s="119"/>
      <c r="AC59" s="127">
        <f t="shared" si="4"/>
        <v>8691491.32</v>
      </c>
    </row>
    <row r="60" spans="1:29" ht="21.75" customHeight="1">
      <c r="A60" s="2" t="s">
        <v>52</v>
      </c>
      <c r="B60" s="163">
        <v>500000</v>
      </c>
      <c r="C60" s="163"/>
      <c r="D60" s="163"/>
      <c r="E60" s="163"/>
      <c r="F60" s="164">
        <f t="shared" si="5"/>
        <v>500000</v>
      </c>
      <c r="G60" s="163">
        <v>1172858.3</v>
      </c>
      <c r="H60" s="163">
        <v>431057.63</v>
      </c>
      <c r="I60" s="164">
        <f t="shared" si="2"/>
        <v>1603915.9300000002</v>
      </c>
      <c r="J60" s="163">
        <v>1903685.81</v>
      </c>
      <c r="K60" s="163">
        <v>2237659.1</v>
      </c>
      <c r="L60" s="165">
        <v>132978.98</v>
      </c>
      <c r="M60" s="118">
        <f t="shared" si="3"/>
        <v>4274323.890000001</v>
      </c>
      <c r="N60" s="166">
        <v>1567252.09</v>
      </c>
      <c r="O60" s="166">
        <v>0</v>
      </c>
      <c r="P60" s="119">
        <v>0</v>
      </c>
      <c r="Q60" s="119">
        <v>0</v>
      </c>
      <c r="R60" s="119">
        <v>0</v>
      </c>
      <c r="S60" s="119">
        <v>1838168.4</v>
      </c>
      <c r="T60" s="119"/>
      <c r="U60" s="119"/>
      <c r="V60" s="119"/>
      <c r="W60" s="119"/>
      <c r="X60" s="119"/>
      <c r="Y60" s="119"/>
      <c r="Z60" s="119"/>
      <c r="AA60" s="119"/>
      <c r="AB60" s="119"/>
      <c r="AC60" s="127">
        <f t="shared" si="4"/>
        <v>9783660.31</v>
      </c>
    </row>
    <row r="61" spans="1:29" ht="21.75" customHeight="1">
      <c r="A61" s="2" t="s">
        <v>53</v>
      </c>
      <c r="B61" s="163">
        <v>500000</v>
      </c>
      <c r="C61" s="163"/>
      <c r="D61" s="163">
        <v>429260.25</v>
      </c>
      <c r="E61" s="163"/>
      <c r="F61" s="164">
        <f t="shared" si="5"/>
        <v>929260.25</v>
      </c>
      <c r="G61" s="163">
        <v>4682745.34</v>
      </c>
      <c r="H61" s="163">
        <v>1721037.49</v>
      </c>
      <c r="I61" s="164">
        <f t="shared" si="2"/>
        <v>6403782.83</v>
      </c>
      <c r="J61" s="163">
        <v>3744949.03</v>
      </c>
      <c r="K61" s="163">
        <v>4401944.49</v>
      </c>
      <c r="L61" s="165">
        <v>261597.51</v>
      </c>
      <c r="M61" s="118">
        <f t="shared" si="3"/>
        <v>8408491.03</v>
      </c>
      <c r="N61" s="166">
        <v>3083113.38</v>
      </c>
      <c r="O61" s="166">
        <v>8701725.969999999</v>
      </c>
      <c r="P61" s="119">
        <v>4374276.37</v>
      </c>
      <c r="Q61" s="119">
        <v>2599989.8600000003</v>
      </c>
      <c r="R61" s="119">
        <v>2956322.87</v>
      </c>
      <c r="S61" s="119">
        <v>0</v>
      </c>
      <c r="T61" s="119"/>
      <c r="U61" s="119"/>
      <c r="V61" s="119"/>
      <c r="W61" s="119"/>
      <c r="X61" s="119"/>
      <c r="Y61" s="119"/>
      <c r="Z61" s="119"/>
      <c r="AA61" s="119"/>
      <c r="AB61" s="119"/>
      <c r="AC61" s="127">
        <f t="shared" si="4"/>
        <v>37456962.559999995</v>
      </c>
    </row>
    <row r="62" ht="21.75" customHeight="1">
      <c r="P62" s="3"/>
    </row>
    <row r="63" spans="1:16" ht="63.75" customHeight="1">
      <c r="A63" s="151" t="s">
        <v>138</v>
      </c>
      <c r="P63" s="3"/>
    </row>
    <row r="64" spans="1:16" ht="21.75" customHeight="1">
      <c r="A64" s="1" t="s">
        <v>401</v>
      </c>
      <c r="P64" s="3"/>
    </row>
    <row r="65" ht="21.75" customHeight="1">
      <c r="A65" s="1" t="s">
        <v>400</v>
      </c>
    </row>
    <row r="66" ht="21.75" customHeight="1">
      <c r="A66" s="1" t="s">
        <v>399</v>
      </c>
    </row>
  </sheetData>
  <sheetProtection/>
  <mergeCells count="10">
    <mergeCell ref="W1:AB1"/>
    <mergeCell ref="AC1:AC2"/>
    <mergeCell ref="N1:O1"/>
    <mergeCell ref="J3:L3"/>
    <mergeCell ref="P1:S1"/>
    <mergeCell ref="T1:U1"/>
    <mergeCell ref="A1:A2"/>
    <mergeCell ref="B1:F1"/>
    <mergeCell ref="G1:I1"/>
    <mergeCell ref="J1:M1"/>
  </mergeCells>
  <printOptions horizontalCentered="1"/>
  <pageMargins left="0.3937007874015748" right="0.3937007874015748" top="0.3937007874015748" bottom="0.3937007874015748" header="0.31496062992125984" footer="0.31496062992125984"/>
  <pageSetup fitToHeight="99" fitToWidth="1" horizontalDpi="600" verticalDpi="600" orientation="landscape" paperSize="9" scale="27"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P126"/>
  <sheetViews>
    <sheetView zoomScale="85" zoomScaleNormal="85" zoomScalePageLayoutView="0" workbookViewId="0" topLeftCell="Z1">
      <selection activeCell="G149" sqref="G149"/>
    </sheetView>
  </sheetViews>
  <sheetFormatPr defaultColWidth="11.421875" defaultRowHeight="15"/>
  <cols>
    <col min="1" max="1" width="8.7109375" style="81" customWidth="1"/>
    <col min="2" max="2" width="7.00390625" style="81" customWidth="1"/>
    <col min="3" max="3" width="32.8515625" style="81" customWidth="1"/>
    <col min="4" max="4" width="20.421875" style="81" customWidth="1"/>
    <col min="5" max="5" width="21.140625" style="81" customWidth="1"/>
    <col min="6" max="6" width="22.8515625" style="81" customWidth="1"/>
    <col min="7" max="7" width="18.8515625" style="81" customWidth="1"/>
    <col min="8" max="8" width="20.140625" style="81" customWidth="1"/>
    <col min="9" max="9" width="17.8515625" style="81" customWidth="1"/>
    <col min="10" max="10" width="16.421875" style="81" customWidth="1"/>
    <col min="11" max="11" width="17.00390625" style="81" customWidth="1"/>
    <col min="12" max="12" width="22.8515625" style="81" customWidth="1"/>
    <col min="13" max="13" width="19.28125" style="81" customWidth="1"/>
    <col min="14" max="14" width="19.00390625" style="81" customWidth="1"/>
    <col min="15" max="15" width="19.140625" style="81" customWidth="1"/>
    <col min="16" max="16" width="19.00390625" style="81" customWidth="1"/>
    <col min="17" max="17" width="19.421875" style="81" bestFit="1" customWidth="1"/>
    <col min="18" max="18" width="18.8515625" style="81" bestFit="1" customWidth="1"/>
    <col min="19" max="20" width="17.8515625" style="81" bestFit="1" customWidth="1"/>
    <col min="21" max="21" width="21.8515625" style="81" customWidth="1"/>
    <col min="22" max="22" width="17.7109375" style="81" customWidth="1"/>
    <col min="23" max="23" width="18.00390625" style="81" bestFit="1" customWidth="1"/>
    <col min="24" max="25" width="17.140625" style="81" customWidth="1"/>
    <col min="26" max="26" width="21.00390625" style="81" customWidth="1"/>
    <col min="27" max="27" width="17.7109375" style="81" customWidth="1"/>
    <col min="28" max="28" width="18.57421875" style="81" bestFit="1" customWidth="1"/>
    <col min="29" max="29" width="19.140625" style="81" customWidth="1"/>
    <col min="30" max="30" width="21.28125" style="81" customWidth="1"/>
    <col min="31" max="31" width="17.140625" style="81" customWidth="1"/>
    <col min="32" max="32" width="18.8515625" style="81" bestFit="1" customWidth="1"/>
    <col min="33" max="33" width="18.57421875" style="81" bestFit="1" customWidth="1"/>
    <col min="34" max="34" width="20.28125" style="81" customWidth="1"/>
    <col min="35" max="36" width="17.140625" style="81" customWidth="1"/>
    <col min="37" max="37" width="21.140625" style="81" bestFit="1" customWidth="1"/>
    <col min="38" max="38" width="23.8515625" style="81" customWidth="1"/>
    <col min="39" max="39" width="2.8515625" style="81" customWidth="1"/>
    <col min="40" max="40" width="20.7109375" style="81" customWidth="1"/>
    <col min="41" max="41" width="22.28125" style="81" customWidth="1"/>
    <col min="42" max="42" width="23.8515625" style="81" customWidth="1"/>
    <col min="43" max="43" width="24.28125" style="81" customWidth="1"/>
    <col min="44" max="45" width="21.00390625" style="81" customWidth="1"/>
    <col min="46" max="46" width="23.28125" style="81" customWidth="1"/>
    <col min="47" max="47" width="21.140625" style="81" customWidth="1"/>
    <col min="48" max="48" width="11.421875" style="81" customWidth="1"/>
    <col min="49" max="50" width="21.140625" style="81" customWidth="1"/>
    <col min="51" max="51" width="18.421875" style="81" customWidth="1"/>
    <col min="52" max="52" width="14.7109375" style="81" customWidth="1"/>
    <col min="53" max="16384" width="11.421875" style="81" customWidth="1"/>
  </cols>
  <sheetData>
    <row r="1" spans="3:38" s="69" customFormat="1" ht="48.75" customHeight="1">
      <c r="C1" s="188" t="s">
        <v>379</v>
      </c>
      <c r="D1" s="292" t="s">
        <v>139</v>
      </c>
      <c r="E1" s="293"/>
      <c r="F1" s="293"/>
      <c r="G1" s="293"/>
      <c r="H1" s="293"/>
      <c r="I1" s="293"/>
      <c r="J1" s="293"/>
      <c r="K1" s="294"/>
      <c r="L1" s="278" t="s">
        <v>376</v>
      </c>
      <c r="M1" s="292" t="s">
        <v>140</v>
      </c>
      <c r="N1" s="293"/>
      <c r="O1" s="294"/>
      <c r="P1" s="278" t="s">
        <v>377</v>
      </c>
      <c r="Q1" s="292" t="s">
        <v>76</v>
      </c>
      <c r="R1" s="293"/>
      <c r="S1" s="293"/>
      <c r="T1" s="294"/>
      <c r="U1" s="278" t="s">
        <v>378</v>
      </c>
      <c r="V1" s="289" t="s">
        <v>380</v>
      </c>
      <c r="W1" s="290"/>
      <c r="X1" s="290"/>
      <c r="Y1" s="291"/>
      <c r="Z1" s="278" t="s">
        <v>381</v>
      </c>
      <c r="AA1" s="282" t="s">
        <v>382</v>
      </c>
      <c r="AB1" s="283"/>
      <c r="AC1" s="278" t="s">
        <v>383</v>
      </c>
      <c r="AD1" s="189" t="s">
        <v>104</v>
      </c>
      <c r="AE1" s="286" t="s">
        <v>384</v>
      </c>
      <c r="AF1" s="287"/>
      <c r="AG1" s="287"/>
      <c r="AH1" s="287"/>
      <c r="AI1" s="287"/>
      <c r="AJ1" s="288"/>
      <c r="AK1" s="284" t="s">
        <v>385</v>
      </c>
      <c r="AL1" s="280" t="s">
        <v>386</v>
      </c>
    </row>
    <row r="2" spans="3:41" s="69" customFormat="1" ht="33.75" customHeight="1">
      <c r="C2" s="188" t="s">
        <v>141</v>
      </c>
      <c r="D2" s="70" t="s">
        <v>142</v>
      </c>
      <c r="E2" s="70" t="s">
        <v>143</v>
      </c>
      <c r="F2" s="70" t="s">
        <v>143</v>
      </c>
      <c r="G2" s="71" t="s">
        <v>144</v>
      </c>
      <c r="H2" s="72" t="s">
        <v>145</v>
      </c>
      <c r="I2" s="190" t="s">
        <v>148</v>
      </c>
      <c r="J2" s="191" t="s">
        <v>151</v>
      </c>
      <c r="K2" s="191" t="s">
        <v>148</v>
      </c>
      <c r="L2" s="279"/>
      <c r="M2" s="72" t="s">
        <v>146</v>
      </c>
      <c r="N2" s="190" t="s">
        <v>149</v>
      </c>
      <c r="O2" s="191" t="s">
        <v>152</v>
      </c>
      <c r="P2" s="279"/>
      <c r="Q2" s="190" t="s">
        <v>147</v>
      </c>
      <c r="R2" s="191" t="s">
        <v>150</v>
      </c>
      <c r="S2" s="191">
        <v>2014</v>
      </c>
      <c r="T2" s="190">
        <v>2015</v>
      </c>
      <c r="U2" s="279"/>
      <c r="V2" s="191">
        <v>2014</v>
      </c>
      <c r="W2" s="190">
        <v>2015</v>
      </c>
      <c r="X2" s="190">
        <v>2016</v>
      </c>
      <c r="Y2" s="190">
        <v>2017</v>
      </c>
      <c r="Z2" s="279"/>
      <c r="AA2" s="190">
        <v>2014</v>
      </c>
      <c r="AB2" s="190">
        <v>2015</v>
      </c>
      <c r="AC2" s="279"/>
      <c r="AD2" s="190">
        <v>2014</v>
      </c>
      <c r="AE2" s="73">
        <v>2015</v>
      </c>
      <c r="AF2" s="73">
        <v>2016</v>
      </c>
      <c r="AG2" s="73">
        <v>2017</v>
      </c>
      <c r="AH2" s="73">
        <v>2018</v>
      </c>
      <c r="AI2" s="73">
        <v>2019</v>
      </c>
      <c r="AJ2" s="73">
        <v>2020</v>
      </c>
      <c r="AK2" s="285"/>
      <c r="AL2" s="281"/>
      <c r="AN2" s="67"/>
      <c r="AO2" s="67"/>
    </row>
    <row r="3" spans="3:42" s="69" customFormat="1" ht="30" customHeight="1">
      <c r="C3" s="74" t="s">
        <v>107</v>
      </c>
      <c r="D3" s="192"/>
      <c r="E3" s="192"/>
      <c r="F3" s="192"/>
      <c r="G3" s="192"/>
      <c r="H3" s="192">
        <v>10833.16</v>
      </c>
      <c r="I3" s="192"/>
      <c r="J3" s="192"/>
      <c r="K3" s="192">
        <v>256285.23999999987</v>
      </c>
      <c r="L3" s="193">
        <f>SUM(D3:K3)</f>
        <v>267118.39999999985</v>
      </c>
      <c r="M3" s="192"/>
      <c r="N3" s="192"/>
      <c r="O3" s="192">
        <v>0.009999999776482582</v>
      </c>
      <c r="P3" s="193">
        <f>SUM(M3:O3)</f>
        <v>0.009999999776482582</v>
      </c>
      <c r="Q3" s="192"/>
      <c r="R3" s="192"/>
      <c r="S3" s="192">
        <f>10000000-S4</f>
        <v>4244.710000002757</v>
      </c>
      <c r="T3" s="192">
        <f>5000000-T4</f>
        <v>0</v>
      </c>
      <c r="U3" s="193">
        <f>SUM(Q3:T3)</f>
        <v>4244.710000002757</v>
      </c>
      <c r="V3" s="192">
        <v>44358.02</v>
      </c>
      <c r="W3" s="192">
        <f>5620200-W4</f>
        <v>200.02999999839813</v>
      </c>
      <c r="X3" s="192"/>
      <c r="Y3" s="194">
        <f>Y4-Y5</f>
        <v>0</v>
      </c>
      <c r="Z3" s="193">
        <f>SUM(V3:Y3)</f>
        <v>44558.049999998395</v>
      </c>
      <c r="AA3" s="192"/>
      <c r="AB3" s="192"/>
      <c r="AC3" s="195">
        <f>SUM(AA3:AB3)</f>
        <v>0</v>
      </c>
      <c r="AD3" s="196">
        <f>40000000-AD4</f>
        <v>0</v>
      </c>
      <c r="AE3" s="196"/>
      <c r="AF3" s="196">
        <f>91745863.9-AF4+19745113.46</f>
        <v>0</v>
      </c>
      <c r="AG3" s="197">
        <f>23648811+28236204.74-AG4</f>
        <v>46266954.199999996</v>
      </c>
      <c r="AH3" s="196"/>
      <c r="AI3" s="196"/>
      <c r="AJ3" s="196"/>
      <c r="AK3" s="195">
        <f>SUM(AE3:AJ3)</f>
        <v>46266954.199999996</v>
      </c>
      <c r="AL3" s="198">
        <f>+AD3+AK3+AC3+Z3+U3+P3+L3</f>
        <v>46582875.36999999</v>
      </c>
      <c r="AN3" s="61"/>
      <c r="AO3" s="61"/>
      <c r="AP3" s="75"/>
    </row>
    <row r="4" spans="1:42" s="69" customFormat="1" ht="28.5" customHeight="1">
      <c r="A4" s="56" t="s">
        <v>153</v>
      </c>
      <c r="B4" s="56" t="s">
        <v>154</v>
      </c>
      <c r="C4" s="74" t="s">
        <v>74</v>
      </c>
      <c r="D4" s="192">
        <v>4565784.51</v>
      </c>
      <c r="E4" s="192">
        <v>1806624.34</v>
      </c>
      <c r="F4" s="192">
        <v>3603549.6900000004</v>
      </c>
      <c r="G4" s="192">
        <v>2823457.8300000005</v>
      </c>
      <c r="H4" s="192">
        <v>3332079.67</v>
      </c>
      <c r="I4" s="192">
        <v>678786.5800000001</v>
      </c>
      <c r="J4" s="192">
        <v>184245.9</v>
      </c>
      <c r="K4" s="192">
        <v>452086.05000000005</v>
      </c>
      <c r="L4" s="193">
        <f>SUM(D4:K4)</f>
        <v>17446614.569999997</v>
      </c>
      <c r="M4" s="192">
        <v>7495179.100000001</v>
      </c>
      <c r="N4" s="192">
        <v>994905.374511256</v>
      </c>
      <c r="O4" s="192">
        <v>1509915.52</v>
      </c>
      <c r="P4" s="193">
        <f>SUM(M4:O4)</f>
        <v>9999999.994511256</v>
      </c>
      <c r="Q4" s="192">
        <v>30000000</v>
      </c>
      <c r="R4" s="192">
        <v>10000000</v>
      </c>
      <c r="S4" s="192">
        <v>9995755.289999997</v>
      </c>
      <c r="T4" s="192">
        <f>SUM(T6:T119)</f>
        <v>5000000</v>
      </c>
      <c r="U4" s="193">
        <f>SUM(Q4:T4)</f>
        <v>54995755.29</v>
      </c>
      <c r="V4" s="192">
        <v>5575842.003723825</v>
      </c>
      <c r="W4" s="192">
        <v>5619999.970000002</v>
      </c>
      <c r="X4" s="192">
        <f>SUM(X6:X119)</f>
        <v>5620200</v>
      </c>
      <c r="Y4" s="192">
        <v>5620200</v>
      </c>
      <c r="Z4" s="193">
        <f>SUM(V4:Y4)</f>
        <v>22436241.97372383</v>
      </c>
      <c r="AA4" s="192">
        <f>SUM(AA6:AA119)</f>
        <v>13148327.800000003</v>
      </c>
      <c r="AB4" s="192">
        <f>SUM(AB6:AB119)</f>
        <v>13148327.800000003</v>
      </c>
      <c r="AC4" s="195">
        <f>SUM(AA4:AB4)</f>
        <v>26296655.600000005</v>
      </c>
      <c r="AD4" s="192">
        <f aca="true" t="shared" si="0" ref="AD4:AJ4">AD5</f>
        <v>39999999.99999999</v>
      </c>
      <c r="AE4" s="192">
        <f t="shared" si="0"/>
        <v>0</v>
      </c>
      <c r="AF4" s="192">
        <f t="shared" si="0"/>
        <v>111490977.35999998</v>
      </c>
      <c r="AG4" s="192">
        <f>AG5</f>
        <v>5618061.540000002</v>
      </c>
      <c r="AH4" s="192">
        <f t="shared" si="0"/>
        <v>0</v>
      </c>
      <c r="AI4" s="192">
        <f t="shared" si="0"/>
        <v>0</v>
      </c>
      <c r="AJ4" s="192">
        <f t="shared" si="0"/>
        <v>0</v>
      </c>
      <c r="AK4" s="193">
        <v>98627283.84999998</v>
      </c>
      <c r="AL4" s="198">
        <v>288284306.29999995</v>
      </c>
      <c r="AN4" s="213">
        <f>AL3+AL4</f>
        <v>334867181.66999996</v>
      </c>
      <c r="AO4" s="62"/>
      <c r="AP4" s="76"/>
    </row>
    <row r="5" spans="1:42" s="69" customFormat="1" ht="44.25" customHeight="1">
      <c r="A5" s="56"/>
      <c r="B5" s="56"/>
      <c r="C5" s="82" t="s">
        <v>387</v>
      </c>
      <c r="D5" s="192">
        <f aca="true" t="shared" si="1" ref="D5:Y5">SUM(D6:D119)</f>
        <v>4565784.51</v>
      </c>
      <c r="E5" s="192">
        <f t="shared" si="1"/>
        <v>1806624.34</v>
      </c>
      <c r="F5" s="192">
        <f t="shared" si="1"/>
        <v>3603549.6900000004</v>
      </c>
      <c r="G5" s="192">
        <f t="shared" si="1"/>
        <v>2823457.8300000005</v>
      </c>
      <c r="H5" s="192">
        <f t="shared" si="1"/>
        <v>3332079.67</v>
      </c>
      <c r="I5" s="192">
        <f t="shared" si="1"/>
        <v>678786.5800000001</v>
      </c>
      <c r="J5" s="192">
        <f t="shared" si="1"/>
        <v>184245.9</v>
      </c>
      <c r="K5" s="192">
        <f t="shared" si="1"/>
        <v>452086.05000000005</v>
      </c>
      <c r="L5" s="193">
        <f t="shared" si="1"/>
        <v>17446614.57</v>
      </c>
      <c r="M5" s="192">
        <f t="shared" si="1"/>
        <v>7495179.100000001</v>
      </c>
      <c r="N5" s="192">
        <f t="shared" si="1"/>
        <v>994905.37</v>
      </c>
      <c r="O5" s="192">
        <f t="shared" si="1"/>
        <v>1509915.52</v>
      </c>
      <c r="P5" s="193">
        <f t="shared" si="1"/>
        <v>9999999.990000004</v>
      </c>
      <c r="Q5" s="192">
        <f t="shared" si="1"/>
        <v>29999999.999999993</v>
      </c>
      <c r="R5" s="192">
        <f t="shared" si="1"/>
        <v>10000000</v>
      </c>
      <c r="S5" s="192">
        <f t="shared" si="1"/>
        <v>9995755.289999997</v>
      </c>
      <c r="T5" s="192">
        <f t="shared" si="1"/>
        <v>5000000</v>
      </c>
      <c r="U5" s="193">
        <f t="shared" si="1"/>
        <v>54995755.29</v>
      </c>
      <c r="V5" s="192">
        <f t="shared" si="1"/>
        <v>5575841.980000001</v>
      </c>
      <c r="W5" s="192">
        <f t="shared" si="1"/>
        <v>5619999.970000002</v>
      </c>
      <c r="X5" s="192">
        <f t="shared" si="1"/>
        <v>5620200</v>
      </c>
      <c r="Y5" s="192">
        <f t="shared" si="1"/>
        <v>5620200.000000002</v>
      </c>
      <c r="Z5" s="193">
        <f>SUM(Z6:Z119)</f>
        <v>22436241.95</v>
      </c>
      <c r="AA5" s="192">
        <f>SUM(AA6:AA119)</f>
        <v>13148327.800000003</v>
      </c>
      <c r="AB5" s="192">
        <f>SUM(AB6:AB119)</f>
        <v>13148327.800000003</v>
      </c>
      <c r="AC5" s="193">
        <f>SUM(AC6:AC119)</f>
        <v>26296655.600000005</v>
      </c>
      <c r="AD5" s="192">
        <f>SUM(AD6:AD119)</f>
        <v>39999999.99999999</v>
      </c>
      <c r="AE5" s="192"/>
      <c r="AF5" s="192">
        <f>SUM(AF6:AF119)</f>
        <v>111490977.35999998</v>
      </c>
      <c r="AG5" s="192">
        <f>SUM(AG6:AG119)</f>
        <v>5618061.540000002</v>
      </c>
      <c r="AH5" s="222"/>
      <c r="AI5" s="192"/>
      <c r="AJ5" s="192"/>
      <c r="AK5" s="193">
        <f>SUM(AK6:AK119)</f>
        <v>117109038.89999999</v>
      </c>
      <c r="AL5" s="193">
        <f>SUM(AL6:AL119)</f>
        <v>288284306.29999995</v>
      </c>
      <c r="AN5" s="62"/>
      <c r="AO5" s="62"/>
      <c r="AP5" s="76"/>
    </row>
    <row r="6" spans="1:41" s="69" customFormat="1" ht="15">
      <c r="A6" s="77" t="s">
        <v>155</v>
      </c>
      <c r="B6" s="69">
        <v>1</v>
      </c>
      <c r="C6" s="78" t="s">
        <v>156</v>
      </c>
      <c r="D6" s="226"/>
      <c r="E6" s="226"/>
      <c r="F6" s="226"/>
      <c r="G6" s="227"/>
      <c r="H6" s="243"/>
      <c r="I6" s="228"/>
      <c r="J6" s="229"/>
      <c r="K6" s="229"/>
      <c r="L6" s="199">
        <f aca="true" t="shared" si="2" ref="L6:L70">SUM(D6:K6)</f>
        <v>0</v>
      </c>
      <c r="M6" s="230">
        <v>135702.74</v>
      </c>
      <c r="N6" s="228"/>
      <c r="O6" s="229">
        <v>86843.74000000002</v>
      </c>
      <c r="P6" s="199">
        <f aca="true" t="shared" si="3" ref="P6:P70">SUM(M6:O6)</f>
        <v>222546.48</v>
      </c>
      <c r="Q6" s="228">
        <v>49416.02</v>
      </c>
      <c r="R6" s="229"/>
      <c r="S6" s="229">
        <v>0</v>
      </c>
      <c r="T6" s="228"/>
      <c r="U6" s="199">
        <f aca="true" t="shared" si="4" ref="U6:U37">SUM(Q6:T6)</f>
        <v>49416.02</v>
      </c>
      <c r="V6" s="229">
        <v>0</v>
      </c>
      <c r="W6" s="227"/>
      <c r="X6" s="228"/>
      <c r="Y6" s="228"/>
      <c r="Z6" s="199">
        <f>SUM(V6:Y6)</f>
        <v>0</v>
      </c>
      <c r="AA6" s="227">
        <v>0</v>
      </c>
      <c r="AB6" s="227">
        <v>0</v>
      </c>
      <c r="AC6" s="199">
        <f aca="true" t="shared" si="5" ref="AC6:AC70">SUM(AA6:AB6)</f>
        <v>0</v>
      </c>
      <c r="AD6" s="228"/>
      <c r="AE6" s="228"/>
      <c r="AF6" s="228">
        <v>0</v>
      </c>
      <c r="AG6" s="228">
        <v>0</v>
      </c>
      <c r="AH6" s="228"/>
      <c r="AI6" s="228"/>
      <c r="AJ6" s="228"/>
      <c r="AK6" s="199">
        <f aca="true" t="shared" si="6" ref="AK6:AK69">SUM(AE6:AJ6)</f>
        <v>0</v>
      </c>
      <c r="AL6" s="85">
        <f>+AD6+AK6+AC6+Z6+U6+P6+L6</f>
        <v>271962.5</v>
      </c>
      <c r="AN6" s="200"/>
      <c r="AO6" s="69">
        <f>IF(AL6=AN6,0,1)</f>
        <v>1</v>
      </c>
    </row>
    <row r="7" spans="1:41" s="69" customFormat="1" ht="15">
      <c r="A7" s="77" t="s">
        <v>157</v>
      </c>
      <c r="B7" s="69">
        <v>2</v>
      </c>
      <c r="C7" s="78" t="s">
        <v>158</v>
      </c>
      <c r="D7" s="226">
        <v>150000</v>
      </c>
      <c r="E7" s="226"/>
      <c r="F7" s="226"/>
      <c r="G7" s="227"/>
      <c r="H7" s="243"/>
      <c r="I7" s="228"/>
      <c r="J7" s="229"/>
      <c r="K7" s="229"/>
      <c r="L7" s="199">
        <f t="shared" si="2"/>
        <v>150000</v>
      </c>
      <c r="M7" s="230">
        <v>150000.4</v>
      </c>
      <c r="N7" s="228"/>
      <c r="O7" s="229"/>
      <c r="P7" s="199">
        <f t="shared" si="3"/>
        <v>150000.4</v>
      </c>
      <c r="Q7" s="228">
        <v>273559.23</v>
      </c>
      <c r="R7" s="229"/>
      <c r="S7" s="229">
        <v>0</v>
      </c>
      <c r="T7" s="228"/>
      <c r="U7" s="199">
        <f t="shared" si="4"/>
        <v>273559.23</v>
      </c>
      <c r="V7" s="229">
        <v>0</v>
      </c>
      <c r="W7" s="227"/>
      <c r="X7" s="228"/>
      <c r="Y7" s="228"/>
      <c r="Z7" s="199">
        <f aca="true" t="shared" si="7" ref="Z7:Z70">SUM(V7:Y7)</f>
        <v>0</v>
      </c>
      <c r="AA7" s="227">
        <v>0</v>
      </c>
      <c r="AB7" s="227">
        <v>0</v>
      </c>
      <c r="AC7" s="199">
        <f t="shared" si="5"/>
        <v>0</v>
      </c>
      <c r="AD7" s="228"/>
      <c r="AE7" s="228"/>
      <c r="AF7" s="228">
        <v>0</v>
      </c>
      <c r="AG7" s="228">
        <v>0</v>
      </c>
      <c r="AH7" s="228"/>
      <c r="AI7" s="228"/>
      <c r="AJ7" s="228"/>
      <c r="AK7" s="199">
        <f t="shared" si="6"/>
        <v>0</v>
      </c>
      <c r="AL7" s="85">
        <f aca="true" t="shared" si="8" ref="AL7:AL70">+AD7+AK7+AC7+Z7+U7+P7+L7</f>
        <v>573559.63</v>
      </c>
      <c r="AN7" s="200"/>
      <c r="AO7" s="69">
        <f aca="true" t="shared" si="9" ref="AO7:AO70">IF(AL7=AN7,0,1)</f>
        <v>1</v>
      </c>
    </row>
    <row r="8" spans="1:41" s="69" customFormat="1" ht="15">
      <c r="A8" s="77" t="s">
        <v>159</v>
      </c>
      <c r="B8" s="69">
        <v>3</v>
      </c>
      <c r="C8" s="78" t="s">
        <v>160</v>
      </c>
      <c r="D8" s="226"/>
      <c r="E8" s="226"/>
      <c r="F8" s="226"/>
      <c r="G8" s="227"/>
      <c r="H8" s="243">
        <v>80141.23</v>
      </c>
      <c r="I8" s="228"/>
      <c r="J8" s="229"/>
      <c r="K8" s="229"/>
      <c r="L8" s="199">
        <f t="shared" si="2"/>
        <v>80141.23</v>
      </c>
      <c r="M8" s="230"/>
      <c r="N8" s="228"/>
      <c r="O8" s="229"/>
      <c r="P8" s="199">
        <f t="shared" si="3"/>
        <v>0</v>
      </c>
      <c r="Q8" s="228">
        <v>323882.17</v>
      </c>
      <c r="R8" s="229">
        <v>120677.23</v>
      </c>
      <c r="S8" s="229">
        <v>34375.75</v>
      </c>
      <c r="T8" s="228">
        <v>11649.37</v>
      </c>
      <c r="U8" s="199">
        <f t="shared" si="4"/>
        <v>490584.51999999996</v>
      </c>
      <c r="V8" s="229">
        <v>36451.26</v>
      </c>
      <c r="W8" s="227">
        <v>29672.08</v>
      </c>
      <c r="X8" s="228">
        <v>29673.14</v>
      </c>
      <c r="Y8" s="228">
        <v>115831.66</v>
      </c>
      <c r="Z8" s="199">
        <f t="shared" si="7"/>
        <v>211628.14</v>
      </c>
      <c r="AA8" s="227">
        <v>69419.63</v>
      </c>
      <c r="AB8" s="227">
        <v>69419.63</v>
      </c>
      <c r="AC8" s="199">
        <f t="shared" si="5"/>
        <v>138839.26</v>
      </c>
      <c r="AD8" s="228">
        <v>133302.79</v>
      </c>
      <c r="AE8" s="228"/>
      <c r="AF8" s="228">
        <v>581313.74</v>
      </c>
      <c r="AG8" s="228">
        <v>0</v>
      </c>
      <c r="AH8" s="228"/>
      <c r="AI8" s="228"/>
      <c r="AJ8" s="228"/>
      <c r="AK8" s="199">
        <f t="shared" si="6"/>
        <v>581313.74</v>
      </c>
      <c r="AL8" s="85">
        <f t="shared" si="8"/>
        <v>1635809.6800000002</v>
      </c>
      <c r="AN8" s="200"/>
      <c r="AO8" s="69">
        <f t="shared" si="9"/>
        <v>1</v>
      </c>
    </row>
    <row r="9" spans="1:41" s="69" customFormat="1" ht="15">
      <c r="A9" s="77" t="s">
        <v>161</v>
      </c>
      <c r="B9" s="69">
        <v>4</v>
      </c>
      <c r="C9" s="78" t="s">
        <v>162</v>
      </c>
      <c r="D9" s="226"/>
      <c r="E9" s="226"/>
      <c r="F9" s="226"/>
      <c r="G9" s="227"/>
      <c r="H9" s="243"/>
      <c r="I9" s="228"/>
      <c r="J9" s="229"/>
      <c r="K9" s="229"/>
      <c r="L9" s="199">
        <f t="shared" si="2"/>
        <v>0</v>
      </c>
      <c r="M9" s="230"/>
      <c r="N9" s="228"/>
      <c r="O9" s="229"/>
      <c r="P9" s="199">
        <f t="shared" si="3"/>
        <v>0</v>
      </c>
      <c r="Q9" s="228"/>
      <c r="R9" s="229">
        <v>52394.01</v>
      </c>
      <c r="S9" s="229">
        <v>0</v>
      </c>
      <c r="T9" s="228">
        <v>7459.51</v>
      </c>
      <c r="U9" s="199">
        <f t="shared" si="4"/>
        <v>59853.520000000004</v>
      </c>
      <c r="V9" s="229">
        <v>0</v>
      </c>
      <c r="W9" s="227">
        <v>19000.1</v>
      </c>
      <c r="X9" s="228">
        <v>19000.78</v>
      </c>
      <c r="Y9" s="228"/>
      <c r="Z9" s="199">
        <f t="shared" si="7"/>
        <v>38000.88</v>
      </c>
      <c r="AA9" s="227">
        <v>44451.89</v>
      </c>
      <c r="AB9" s="227">
        <v>44451.89</v>
      </c>
      <c r="AC9" s="199">
        <f t="shared" si="5"/>
        <v>88903.78</v>
      </c>
      <c r="AD9" s="228"/>
      <c r="AE9" s="228"/>
      <c r="AF9" s="228">
        <v>0</v>
      </c>
      <c r="AG9" s="228">
        <v>0</v>
      </c>
      <c r="AH9" s="228"/>
      <c r="AI9" s="228"/>
      <c r="AJ9" s="228"/>
      <c r="AK9" s="199">
        <f t="shared" si="6"/>
        <v>0</v>
      </c>
      <c r="AL9" s="85">
        <f t="shared" si="8"/>
        <v>186758.18</v>
      </c>
      <c r="AM9" s="200"/>
      <c r="AN9" s="200"/>
      <c r="AO9" s="69">
        <f t="shared" si="9"/>
        <v>1</v>
      </c>
    </row>
    <row r="10" spans="1:41" s="69" customFormat="1" ht="15">
      <c r="A10" s="77" t="s">
        <v>163</v>
      </c>
      <c r="B10" s="69">
        <v>5</v>
      </c>
      <c r="C10" s="78" t="s">
        <v>164</v>
      </c>
      <c r="D10" s="226">
        <v>150000</v>
      </c>
      <c r="E10" s="226"/>
      <c r="F10" s="226">
        <v>150000</v>
      </c>
      <c r="G10" s="227"/>
      <c r="H10" s="243">
        <v>150000</v>
      </c>
      <c r="I10" s="228"/>
      <c r="J10" s="229"/>
      <c r="K10" s="229"/>
      <c r="L10" s="199">
        <f t="shared" si="2"/>
        <v>450000</v>
      </c>
      <c r="M10" s="230">
        <v>119048.41</v>
      </c>
      <c r="N10" s="228"/>
      <c r="O10" s="229"/>
      <c r="P10" s="199">
        <f t="shared" si="3"/>
        <v>119048.41</v>
      </c>
      <c r="Q10" s="228">
        <v>2620612.96</v>
      </c>
      <c r="R10" s="229">
        <v>976430.11</v>
      </c>
      <c r="S10" s="229">
        <v>126211.16</v>
      </c>
      <c r="T10" s="228">
        <v>95200.38</v>
      </c>
      <c r="U10" s="199">
        <f t="shared" si="4"/>
        <v>3818454.61</v>
      </c>
      <c r="V10" s="229">
        <v>133831.45</v>
      </c>
      <c r="W10" s="227">
        <v>242484.72</v>
      </c>
      <c r="X10" s="228">
        <v>242493.35</v>
      </c>
      <c r="Y10" s="228"/>
      <c r="Z10" s="199">
        <f t="shared" si="7"/>
        <v>618809.52</v>
      </c>
      <c r="AA10" s="227">
        <v>567307.57</v>
      </c>
      <c r="AB10" s="227">
        <v>567307.57</v>
      </c>
      <c r="AC10" s="199">
        <f t="shared" si="5"/>
        <v>1134615.14</v>
      </c>
      <c r="AD10" s="228">
        <v>1260470.81</v>
      </c>
      <c r="AE10" s="228"/>
      <c r="AF10" s="228">
        <v>3737324.18</v>
      </c>
      <c r="AG10" s="228">
        <v>341239.54</v>
      </c>
      <c r="AH10" s="228"/>
      <c r="AI10" s="228"/>
      <c r="AJ10" s="228"/>
      <c r="AK10" s="199">
        <f>SUM(AF10:AJ10)</f>
        <v>4078563.72</v>
      </c>
      <c r="AL10" s="85">
        <f t="shared" si="8"/>
        <v>11479962.209999999</v>
      </c>
      <c r="AN10" s="200"/>
      <c r="AO10" s="69">
        <f t="shared" si="9"/>
        <v>1</v>
      </c>
    </row>
    <row r="11" spans="1:41" s="69" customFormat="1" ht="15">
      <c r="A11" s="77" t="s">
        <v>165</v>
      </c>
      <c r="B11" s="69">
        <v>6</v>
      </c>
      <c r="C11" s="78" t="s">
        <v>166</v>
      </c>
      <c r="D11" s="226"/>
      <c r="E11" s="226"/>
      <c r="F11" s="226"/>
      <c r="G11" s="227"/>
      <c r="H11" s="243">
        <v>32393.44</v>
      </c>
      <c r="I11" s="228"/>
      <c r="J11" s="229"/>
      <c r="K11" s="229"/>
      <c r="L11" s="199">
        <f t="shared" si="2"/>
        <v>32393.44</v>
      </c>
      <c r="M11" s="230"/>
      <c r="N11" s="228"/>
      <c r="O11" s="229"/>
      <c r="P11" s="199">
        <f t="shared" si="3"/>
        <v>0</v>
      </c>
      <c r="Q11" s="228"/>
      <c r="R11" s="229"/>
      <c r="S11" s="229">
        <v>3163.19</v>
      </c>
      <c r="T11" s="228"/>
      <c r="U11" s="199">
        <f t="shared" si="4"/>
        <v>3163.19</v>
      </c>
      <c r="V11" s="229">
        <v>3354.18</v>
      </c>
      <c r="W11" s="227"/>
      <c r="X11" s="228"/>
      <c r="Y11" s="228"/>
      <c r="Z11" s="199">
        <f t="shared" si="7"/>
        <v>3354.18</v>
      </c>
      <c r="AA11" s="227">
        <v>0</v>
      </c>
      <c r="AB11" s="227">
        <v>0</v>
      </c>
      <c r="AC11" s="199">
        <f t="shared" si="5"/>
        <v>0</v>
      </c>
      <c r="AD11" s="228">
        <v>183647.45</v>
      </c>
      <c r="AE11" s="228"/>
      <c r="AF11" s="228">
        <v>0</v>
      </c>
      <c r="AG11" s="228">
        <v>0</v>
      </c>
      <c r="AH11" s="228"/>
      <c r="AI11" s="228"/>
      <c r="AJ11" s="228"/>
      <c r="AK11" s="199">
        <f t="shared" si="6"/>
        <v>0</v>
      </c>
      <c r="AL11" s="85">
        <f t="shared" si="8"/>
        <v>222558.26</v>
      </c>
      <c r="AN11" s="200"/>
      <c r="AO11" s="69">
        <f t="shared" si="9"/>
        <v>1</v>
      </c>
    </row>
    <row r="12" spans="1:41" s="69" customFormat="1" ht="15">
      <c r="A12" s="77" t="s">
        <v>167</v>
      </c>
      <c r="B12" s="69">
        <v>7</v>
      </c>
      <c r="C12" s="78" t="s">
        <v>168</v>
      </c>
      <c r="D12" s="226">
        <v>150000</v>
      </c>
      <c r="E12" s="226"/>
      <c r="F12" s="226"/>
      <c r="G12" s="227"/>
      <c r="H12" s="243"/>
      <c r="I12" s="228"/>
      <c r="J12" s="229"/>
      <c r="K12" s="229"/>
      <c r="L12" s="199">
        <f t="shared" si="2"/>
        <v>150000</v>
      </c>
      <c r="M12" s="230">
        <v>65944.79</v>
      </c>
      <c r="N12" s="228"/>
      <c r="O12" s="229"/>
      <c r="P12" s="199">
        <f t="shared" si="3"/>
        <v>65944.79</v>
      </c>
      <c r="Q12" s="228"/>
      <c r="R12" s="229"/>
      <c r="S12" s="229">
        <v>0</v>
      </c>
      <c r="T12" s="228"/>
      <c r="U12" s="199">
        <f t="shared" si="4"/>
        <v>0</v>
      </c>
      <c r="V12" s="229">
        <v>0</v>
      </c>
      <c r="W12" s="227"/>
      <c r="X12" s="228"/>
      <c r="Y12" s="228">
        <v>84797.03</v>
      </c>
      <c r="Z12" s="199">
        <f t="shared" si="7"/>
        <v>84797.03</v>
      </c>
      <c r="AA12" s="227">
        <v>0</v>
      </c>
      <c r="AB12" s="227">
        <v>0</v>
      </c>
      <c r="AC12" s="199">
        <f t="shared" si="5"/>
        <v>0</v>
      </c>
      <c r="AD12" s="228"/>
      <c r="AE12" s="228"/>
      <c r="AF12" s="228">
        <v>197859.75</v>
      </c>
      <c r="AG12" s="228">
        <v>0</v>
      </c>
      <c r="AH12" s="228"/>
      <c r="AI12" s="228"/>
      <c r="AJ12" s="228"/>
      <c r="AK12" s="199">
        <f t="shared" si="6"/>
        <v>197859.75</v>
      </c>
      <c r="AL12" s="85">
        <f t="shared" si="8"/>
        <v>498601.57</v>
      </c>
      <c r="AN12" s="200"/>
      <c r="AO12" s="69">
        <f t="shared" si="9"/>
        <v>1</v>
      </c>
    </row>
    <row r="13" spans="1:41" s="69" customFormat="1" ht="15">
      <c r="A13" s="77" t="s">
        <v>169</v>
      </c>
      <c r="B13" s="69">
        <v>8</v>
      </c>
      <c r="C13" s="78" t="s">
        <v>170</v>
      </c>
      <c r="D13" s="226"/>
      <c r="E13" s="226"/>
      <c r="F13" s="226">
        <v>313214.54</v>
      </c>
      <c r="G13" s="227"/>
      <c r="H13" s="243">
        <v>152791.39</v>
      </c>
      <c r="I13" s="228"/>
      <c r="J13" s="229"/>
      <c r="K13" s="229"/>
      <c r="L13" s="199">
        <f t="shared" si="2"/>
        <v>466005.93</v>
      </c>
      <c r="M13" s="230">
        <v>89894.1</v>
      </c>
      <c r="N13" s="228"/>
      <c r="O13" s="229"/>
      <c r="P13" s="199">
        <f t="shared" si="3"/>
        <v>89894.1</v>
      </c>
      <c r="Q13" s="228">
        <v>266969.08</v>
      </c>
      <c r="R13" s="229">
        <v>99471.63</v>
      </c>
      <c r="S13" s="229">
        <v>23611.54</v>
      </c>
      <c r="T13" s="228">
        <v>17810.05</v>
      </c>
      <c r="U13" s="199">
        <f t="shared" si="4"/>
        <v>407862.3</v>
      </c>
      <c r="V13" s="229">
        <v>25037.14</v>
      </c>
      <c r="W13" s="227">
        <v>45363.96</v>
      </c>
      <c r="X13" s="228">
        <v>45365.57</v>
      </c>
      <c r="Y13" s="228">
        <v>300241.09</v>
      </c>
      <c r="Z13" s="199">
        <f t="shared" si="7"/>
        <v>416007.76</v>
      </c>
      <c r="AA13" s="227">
        <v>106131.71</v>
      </c>
      <c r="AB13" s="227">
        <v>106131.71</v>
      </c>
      <c r="AC13" s="199">
        <f t="shared" si="5"/>
        <v>212263.42</v>
      </c>
      <c r="AD13" s="228">
        <v>552165.57</v>
      </c>
      <c r="AE13" s="228"/>
      <c r="AF13" s="228">
        <v>1397207.73</v>
      </c>
      <c r="AG13" s="228">
        <v>0</v>
      </c>
      <c r="AH13" s="228"/>
      <c r="AI13" s="228"/>
      <c r="AJ13" s="228"/>
      <c r="AK13" s="199">
        <f>SUM(AF13:AJ13)</f>
        <v>1397207.73</v>
      </c>
      <c r="AL13" s="85">
        <f t="shared" si="8"/>
        <v>3541406.8099999996</v>
      </c>
      <c r="AN13" s="200"/>
      <c r="AO13" s="69">
        <f t="shared" si="9"/>
        <v>1</v>
      </c>
    </row>
    <row r="14" spans="1:41" s="69" customFormat="1" ht="15">
      <c r="A14" s="77" t="s">
        <v>171</v>
      </c>
      <c r="B14" s="69">
        <v>9</v>
      </c>
      <c r="C14" s="78" t="s">
        <v>172</v>
      </c>
      <c r="D14" s="226"/>
      <c r="E14" s="226"/>
      <c r="F14" s="226"/>
      <c r="G14" s="227"/>
      <c r="H14" s="243"/>
      <c r="I14" s="228"/>
      <c r="J14" s="229"/>
      <c r="K14" s="229"/>
      <c r="L14" s="199">
        <f t="shared" si="2"/>
        <v>0</v>
      </c>
      <c r="M14" s="230"/>
      <c r="N14" s="228"/>
      <c r="O14" s="229">
        <v>30697.109999999997</v>
      </c>
      <c r="P14" s="199">
        <f t="shared" si="3"/>
        <v>30697.109999999997</v>
      </c>
      <c r="Q14" s="228">
        <v>17467.34</v>
      </c>
      <c r="R14" s="229"/>
      <c r="S14" s="229">
        <v>0</v>
      </c>
      <c r="T14" s="228"/>
      <c r="U14" s="199">
        <f t="shared" si="4"/>
        <v>17467.34</v>
      </c>
      <c r="V14" s="229">
        <v>0</v>
      </c>
      <c r="W14" s="227"/>
      <c r="X14" s="228"/>
      <c r="Y14" s="228"/>
      <c r="Z14" s="199">
        <f t="shared" si="7"/>
        <v>0</v>
      </c>
      <c r="AA14" s="227">
        <v>0</v>
      </c>
      <c r="AB14" s="227">
        <v>0</v>
      </c>
      <c r="AC14" s="199">
        <f t="shared" si="5"/>
        <v>0</v>
      </c>
      <c r="AD14" s="228">
        <v>77609.16</v>
      </c>
      <c r="AE14" s="228"/>
      <c r="AF14" s="228">
        <v>56000</v>
      </c>
      <c r="AG14" s="228">
        <v>0</v>
      </c>
      <c r="AH14" s="228"/>
      <c r="AI14" s="228"/>
      <c r="AJ14" s="228"/>
      <c r="AK14" s="199">
        <f>SUM(AF14:AJ14)</f>
        <v>56000</v>
      </c>
      <c r="AL14" s="85">
        <f t="shared" si="8"/>
        <v>181773.61</v>
      </c>
      <c r="AN14" s="200"/>
      <c r="AO14" s="69">
        <f t="shared" si="9"/>
        <v>1</v>
      </c>
    </row>
    <row r="15" spans="1:41" s="69" customFormat="1" ht="15">
      <c r="A15" s="77" t="s">
        <v>173</v>
      </c>
      <c r="B15" s="69">
        <v>10</v>
      </c>
      <c r="C15" s="78" t="s">
        <v>174</v>
      </c>
      <c r="D15" s="226"/>
      <c r="E15" s="226"/>
      <c r="F15" s="226">
        <v>9114.63</v>
      </c>
      <c r="G15" s="227"/>
      <c r="H15" s="243"/>
      <c r="I15" s="228"/>
      <c r="J15" s="229"/>
      <c r="K15" s="229"/>
      <c r="L15" s="199">
        <f t="shared" si="2"/>
        <v>9114.63</v>
      </c>
      <c r="M15" s="230"/>
      <c r="N15" s="228"/>
      <c r="O15" s="229"/>
      <c r="P15" s="199">
        <f t="shared" si="3"/>
        <v>0</v>
      </c>
      <c r="Q15" s="228">
        <v>43066.7</v>
      </c>
      <c r="R15" s="229">
        <v>27522.17</v>
      </c>
      <c r="S15" s="229">
        <v>0</v>
      </c>
      <c r="T15" s="228"/>
      <c r="U15" s="199">
        <f t="shared" si="4"/>
        <v>70588.87</v>
      </c>
      <c r="V15" s="229">
        <v>0</v>
      </c>
      <c r="W15" s="227"/>
      <c r="X15" s="228"/>
      <c r="Y15" s="228"/>
      <c r="Z15" s="199">
        <f t="shared" si="7"/>
        <v>0</v>
      </c>
      <c r="AA15" s="227">
        <v>0</v>
      </c>
      <c r="AB15" s="227">
        <v>0</v>
      </c>
      <c r="AC15" s="199">
        <f t="shared" si="5"/>
        <v>0</v>
      </c>
      <c r="AD15" s="228">
        <v>102289.77</v>
      </c>
      <c r="AE15" s="228"/>
      <c r="AF15" s="228">
        <v>0</v>
      </c>
      <c r="AG15" s="228">
        <v>0</v>
      </c>
      <c r="AH15" s="228"/>
      <c r="AI15" s="228"/>
      <c r="AJ15" s="228"/>
      <c r="AK15" s="199">
        <f t="shared" si="6"/>
        <v>0</v>
      </c>
      <c r="AL15" s="85">
        <f t="shared" si="8"/>
        <v>181993.27000000002</v>
      </c>
      <c r="AN15" s="200"/>
      <c r="AO15" s="69">
        <f t="shared" si="9"/>
        <v>1</v>
      </c>
    </row>
    <row r="16" spans="1:41" s="69" customFormat="1" ht="15">
      <c r="A16" s="77" t="s">
        <v>175</v>
      </c>
      <c r="B16" s="69">
        <v>11</v>
      </c>
      <c r="C16" s="78" t="s">
        <v>176</v>
      </c>
      <c r="D16" s="226">
        <v>118891.02</v>
      </c>
      <c r="E16" s="226"/>
      <c r="F16" s="226"/>
      <c r="G16" s="227"/>
      <c r="H16" s="243">
        <v>696884.81</v>
      </c>
      <c r="I16" s="228"/>
      <c r="J16" s="229"/>
      <c r="K16" s="229"/>
      <c r="L16" s="199">
        <f t="shared" si="2"/>
        <v>815775.8300000001</v>
      </c>
      <c r="M16" s="230">
        <v>184146.73</v>
      </c>
      <c r="N16" s="228"/>
      <c r="O16" s="229"/>
      <c r="P16" s="199">
        <f t="shared" si="3"/>
        <v>184146.73</v>
      </c>
      <c r="Q16" s="228">
        <v>2007663.53</v>
      </c>
      <c r="R16" s="229">
        <v>747893.65</v>
      </c>
      <c r="S16" s="229">
        <v>262849.91</v>
      </c>
      <c r="T16" s="228">
        <v>63338.72</v>
      </c>
      <c r="U16" s="199">
        <f t="shared" si="4"/>
        <v>3081745.8100000005</v>
      </c>
      <c r="V16" s="229">
        <v>278720.1</v>
      </c>
      <c r="W16" s="227">
        <v>161329.94</v>
      </c>
      <c r="X16" s="228">
        <v>161335.68</v>
      </c>
      <c r="Y16" s="228"/>
      <c r="Z16" s="199">
        <f t="shared" si="7"/>
        <v>601385.72</v>
      </c>
      <c r="AA16" s="227">
        <v>377441.1</v>
      </c>
      <c r="AB16" s="227">
        <v>377441.1</v>
      </c>
      <c r="AC16" s="199">
        <f t="shared" si="5"/>
        <v>754882.2</v>
      </c>
      <c r="AD16" s="228">
        <v>4278946.7</v>
      </c>
      <c r="AE16" s="228"/>
      <c r="AF16" s="228">
        <v>9934191.81</v>
      </c>
      <c r="AG16" s="228">
        <v>0</v>
      </c>
      <c r="AH16" s="228"/>
      <c r="AI16" s="228"/>
      <c r="AJ16" s="228"/>
      <c r="AK16" s="199">
        <f t="shared" si="6"/>
        <v>9934191.81</v>
      </c>
      <c r="AL16" s="85">
        <f t="shared" si="8"/>
        <v>19651074.800000004</v>
      </c>
      <c r="AN16" s="200"/>
      <c r="AO16" s="69">
        <f t="shared" si="9"/>
        <v>1</v>
      </c>
    </row>
    <row r="17" spans="1:41" s="69" customFormat="1" ht="15">
      <c r="A17" s="77" t="s">
        <v>177</v>
      </c>
      <c r="B17" s="69">
        <v>12</v>
      </c>
      <c r="C17" s="78" t="s">
        <v>178</v>
      </c>
      <c r="D17" s="226"/>
      <c r="E17" s="226"/>
      <c r="F17" s="226"/>
      <c r="G17" s="227"/>
      <c r="H17" s="243">
        <v>28145.6</v>
      </c>
      <c r="I17" s="228"/>
      <c r="J17" s="229"/>
      <c r="K17" s="229"/>
      <c r="L17" s="199">
        <f t="shared" si="2"/>
        <v>28145.6</v>
      </c>
      <c r="M17" s="230"/>
      <c r="N17" s="228"/>
      <c r="O17" s="229">
        <v>68691.99000000002</v>
      </c>
      <c r="P17" s="199">
        <f t="shared" si="3"/>
        <v>68691.99000000002</v>
      </c>
      <c r="Q17" s="228">
        <v>94251.4</v>
      </c>
      <c r="R17" s="229"/>
      <c r="S17" s="229">
        <v>0</v>
      </c>
      <c r="T17" s="228"/>
      <c r="U17" s="199">
        <f t="shared" si="4"/>
        <v>94251.4</v>
      </c>
      <c r="V17" s="229">
        <v>0</v>
      </c>
      <c r="W17" s="227"/>
      <c r="X17" s="228"/>
      <c r="Y17" s="228"/>
      <c r="Z17" s="199">
        <f t="shared" si="7"/>
        <v>0</v>
      </c>
      <c r="AA17" s="227">
        <v>0</v>
      </c>
      <c r="AB17" s="227">
        <v>0</v>
      </c>
      <c r="AC17" s="199">
        <f t="shared" si="5"/>
        <v>0</v>
      </c>
      <c r="AD17" s="228">
        <v>205324.07</v>
      </c>
      <c r="AE17" s="228"/>
      <c r="AF17" s="228">
        <v>254006.17</v>
      </c>
      <c r="AG17" s="228">
        <v>2365.1</v>
      </c>
      <c r="AH17" s="228"/>
      <c r="AI17" s="228"/>
      <c r="AJ17" s="228"/>
      <c r="AK17" s="199">
        <f t="shared" si="6"/>
        <v>256371.27000000002</v>
      </c>
      <c r="AL17" s="85">
        <f t="shared" si="8"/>
        <v>652784.33</v>
      </c>
      <c r="AN17" s="221"/>
      <c r="AO17" s="69">
        <f t="shared" si="9"/>
        <v>1</v>
      </c>
    </row>
    <row r="18" spans="1:41" s="69" customFormat="1" ht="15">
      <c r="A18" s="77" t="s">
        <v>179</v>
      </c>
      <c r="B18" s="69">
        <v>13</v>
      </c>
      <c r="C18" s="78" t="s">
        <v>180</v>
      </c>
      <c r="D18" s="231">
        <v>120000</v>
      </c>
      <c r="E18" s="231"/>
      <c r="F18" s="231"/>
      <c r="G18" s="232"/>
      <c r="H18" s="244"/>
      <c r="I18" s="228"/>
      <c r="J18" s="229"/>
      <c r="K18" s="229"/>
      <c r="L18" s="199">
        <f t="shared" si="2"/>
        <v>120000</v>
      </c>
      <c r="M18" s="233"/>
      <c r="N18" s="228">
        <v>403307.56</v>
      </c>
      <c r="O18" s="229"/>
      <c r="P18" s="199">
        <f t="shared" si="3"/>
        <v>403307.56</v>
      </c>
      <c r="Q18" s="228"/>
      <c r="R18" s="229"/>
      <c r="S18" s="229">
        <v>2967241.87</v>
      </c>
      <c r="T18" s="228">
        <v>1479478</v>
      </c>
      <c r="U18" s="199">
        <f t="shared" si="4"/>
        <v>4446719.87</v>
      </c>
      <c r="V18" s="229">
        <v>0</v>
      </c>
      <c r="W18" s="227"/>
      <c r="X18" s="228"/>
      <c r="Y18" s="228">
        <v>646417.5</v>
      </c>
      <c r="Z18" s="199">
        <f t="shared" si="7"/>
        <v>646417.5</v>
      </c>
      <c r="AA18" s="227">
        <v>0</v>
      </c>
      <c r="AB18" s="227">
        <v>0</v>
      </c>
      <c r="AC18" s="199">
        <f t="shared" si="5"/>
        <v>0</v>
      </c>
      <c r="AD18" s="228">
        <v>588606.09</v>
      </c>
      <c r="AE18" s="228"/>
      <c r="AF18" s="228">
        <v>5523214.25</v>
      </c>
      <c r="AG18" s="228">
        <v>790510.22</v>
      </c>
      <c r="AH18" s="228"/>
      <c r="AI18" s="228"/>
      <c r="AJ18" s="228"/>
      <c r="AK18" s="199">
        <f t="shared" si="6"/>
        <v>6313724.47</v>
      </c>
      <c r="AL18" s="85">
        <f t="shared" si="8"/>
        <v>12518775.49</v>
      </c>
      <c r="AN18" s="221"/>
      <c r="AO18" s="69">
        <f t="shared" si="9"/>
        <v>1</v>
      </c>
    </row>
    <row r="19" spans="1:41" s="69" customFormat="1" ht="15">
      <c r="A19" s="77" t="s">
        <v>181</v>
      </c>
      <c r="B19" s="69">
        <v>14</v>
      </c>
      <c r="C19" s="78" t="s">
        <v>182</v>
      </c>
      <c r="D19" s="226"/>
      <c r="E19" s="226"/>
      <c r="F19" s="226">
        <v>26747.41</v>
      </c>
      <c r="G19" s="227"/>
      <c r="H19" s="243">
        <v>18960.14</v>
      </c>
      <c r="I19" s="228"/>
      <c r="J19" s="229"/>
      <c r="K19" s="229"/>
      <c r="L19" s="199">
        <f t="shared" si="2"/>
        <v>45707.55</v>
      </c>
      <c r="M19" s="230">
        <v>377452.83</v>
      </c>
      <c r="N19" s="228"/>
      <c r="O19" s="229"/>
      <c r="P19" s="199">
        <f t="shared" si="3"/>
        <v>377452.83</v>
      </c>
      <c r="Q19" s="228">
        <v>94182.2</v>
      </c>
      <c r="R19" s="229">
        <v>35091.92</v>
      </c>
      <c r="S19" s="229">
        <v>26615.96</v>
      </c>
      <c r="T19" s="228"/>
      <c r="U19" s="199">
        <f t="shared" si="4"/>
        <v>155890.08</v>
      </c>
      <c r="V19" s="229">
        <v>28222.96</v>
      </c>
      <c r="W19" s="227"/>
      <c r="X19" s="228"/>
      <c r="Y19" s="228"/>
      <c r="Z19" s="199">
        <f t="shared" si="7"/>
        <v>28222.96</v>
      </c>
      <c r="AA19" s="227">
        <v>0</v>
      </c>
      <c r="AB19" s="227">
        <v>0</v>
      </c>
      <c r="AC19" s="199">
        <f t="shared" si="5"/>
        <v>0</v>
      </c>
      <c r="AD19" s="228">
        <v>241881.01</v>
      </c>
      <c r="AE19" s="228"/>
      <c r="AF19" s="228">
        <v>564389.01</v>
      </c>
      <c r="AG19" s="228">
        <v>0</v>
      </c>
      <c r="AH19" s="228"/>
      <c r="AI19" s="228"/>
      <c r="AJ19" s="228"/>
      <c r="AK19" s="199">
        <f t="shared" si="6"/>
        <v>564389.01</v>
      </c>
      <c r="AL19" s="85">
        <f t="shared" si="8"/>
        <v>1413543.44</v>
      </c>
      <c r="AN19" s="200"/>
      <c r="AO19" s="69">
        <f t="shared" si="9"/>
        <v>1</v>
      </c>
    </row>
    <row r="20" spans="1:41" s="69" customFormat="1" ht="15">
      <c r="A20" s="77" t="s">
        <v>183</v>
      </c>
      <c r="B20" s="69">
        <v>15</v>
      </c>
      <c r="C20" s="78" t="s">
        <v>184</v>
      </c>
      <c r="D20" s="226">
        <v>150000</v>
      </c>
      <c r="E20" s="226"/>
      <c r="F20" s="226">
        <v>304845.85</v>
      </c>
      <c r="G20" s="227"/>
      <c r="H20" s="243"/>
      <c r="I20" s="228"/>
      <c r="J20" s="229"/>
      <c r="K20" s="229"/>
      <c r="L20" s="199">
        <f t="shared" si="2"/>
        <v>454845.85</v>
      </c>
      <c r="M20" s="230"/>
      <c r="N20" s="228"/>
      <c r="O20" s="229">
        <v>92883.44</v>
      </c>
      <c r="P20" s="199">
        <f t="shared" si="3"/>
        <v>92883.44</v>
      </c>
      <c r="Q20" s="228">
        <v>91218.82</v>
      </c>
      <c r="R20" s="229"/>
      <c r="S20" s="229">
        <v>88013.16</v>
      </c>
      <c r="T20" s="228">
        <v>29826.2</v>
      </c>
      <c r="U20" s="199">
        <f t="shared" si="4"/>
        <v>209058.18000000002</v>
      </c>
      <c r="V20" s="229">
        <v>93327.17</v>
      </c>
      <c r="W20" s="227">
        <v>75970.25</v>
      </c>
      <c r="X20" s="228">
        <v>75972.95</v>
      </c>
      <c r="Y20" s="228"/>
      <c r="Z20" s="199">
        <f t="shared" si="7"/>
        <v>245270.37</v>
      </c>
      <c r="AA20" s="227">
        <v>177736.96</v>
      </c>
      <c r="AB20" s="227">
        <v>177736.96</v>
      </c>
      <c r="AC20" s="199">
        <f t="shared" si="5"/>
        <v>355473.92</v>
      </c>
      <c r="AD20" s="228">
        <v>7538.65</v>
      </c>
      <c r="AE20" s="228"/>
      <c r="AF20" s="228">
        <v>0</v>
      </c>
      <c r="AG20" s="228">
        <v>0</v>
      </c>
      <c r="AH20" s="228"/>
      <c r="AI20" s="228"/>
      <c r="AJ20" s="228"/>
      <c r="AK20" s="199">
        <f t="shared" si="6"/>
        <v>0</v>
      </c>
      <c r="AL20" s="85">
        <f t="shared" si="8"/>
        <v>1365070.4100000001</v>
      </c>
      <c r="AN20" s="200"/>
      <c r="AO20" s="69">
        <f t="shared" si="9"/>
        <v>1</v>
      </c>
    </row>
    <row r="21" spans="1:41" s="69" customFormat="1" ht="15">
      <c r="A21" s="77" t="s">
        <v>185</v>
      </c>
      <c r="B21" s="69">
        <v>16</v>
      </c>
      <c r="C21" s="78" t="s">
        <v>186</v>
      </c>
      <c r="D21" s="226"/>
      <c r="E21" s="226"/>
      <c r="F21" s="226"/>
      <c r="G21" s="227"/>
      <c r="H21" s="243"/>
      <c r="I21" s="228"/>
      <c r="J21" s="229"/>
      <c r="K21" s="229"/>
      <c r="L21" s="199">
        <f t="shared" si="2"/>
        <v>0</v>
      </c>
      <c r="M21" s="230">
        <v>314679.3</v>
      </c>
      <c r="N21" s="228"/>
      <c r="O21" s="229"/>
      <c r="P21" s="199">
        <f t="shared" si="3"/>
        <v>314679.3</v>
      </c>
      <c r="Q21" s="228"/>
      <c r="R21" s="229"/>
      <c r="S21" s="229">
        <v>40637.43</v>
      </c>
      <c r="T21" s="228"/>
      <c r="U21" s="199">
        <f t="shared" si="4"/>
        <v>40637.43</v>
      </c>
      <c r="V21" s="229">
        <v>43091.02</v>
      </c>
      <c r="W21" s="227"/>
      <c r="X21" s="228"/>
      <c r="Y21" s="228">
        <v>112630.16</v>
      </c>
      <c r="Z21" s="199">
        <f t="shared" si="7"/>
        <v>155721.18</v>
      </c>
      <c r="AA21" s="227">
        <v>0</v>
      </c>
      <c r="AB21" s="227">
        <v>0</v>
      </c>
      <c r="AC21" s="199">
        <f t="shared" si="5"/>
        <v>0</v>
      </c>
      <c r="AD21" s="228">
        <v>51237.54</v>
      </c>
      <c r="AE21" s="228"/>
      <c r="AF21" s="228">
        <v>382407.97</v>
      </c>
      <c r="AG21" s="228">
        <v>0</v>
      </c>
      <c r="AH21" s="228"/>
      <c r="AI21" s="228"/>
      <c r="AJ21" s="228"/>
      <c r="AK21" s="199">
        <f t="shared" si="6"/>
        <v>382407.97</v>
      </c>
      <c r="AL21" s="85">
        <f t="shared" si="8"/>
        <v>944683.4199999999</v>
      </c>
      <c r="AN21" s="200"/>
      <c r="AO21" s="69">
        <f t="shared" si="9"/>
        <v>1</v>
      </c>
    </row>
    <row r="22" spans="1:41" s="69" customFormat="1" ht="15">
      <c r="A22" s="77" t="s">
        <v>187</v>
      </c>
      <c r="B22" s="69">
        <v>17</v>
      </c>
      <c r="C22" s="78" t="s">
        <v>188</v>
      </c>
      <c r="D22" s="226"/>
      <c r="E22" s="226"/>
      <c r="F22" s="226"/>
      <c r="G22" s="227"/>
      <c r="H22" s="243"/>
      <c r="I22" s="228"/>
      <c r="J22" s="229"/>
      <c r="K22" s="229"/>
      <c r="L22" s="199">
        <f t="shared" si="2"/>
        <v>0</v>
      </c>
      <c r="M22" s="230"/>
      <c r="N22" s="228"/>
      <c r="O22" s="229"/>
      <c r="P22" s="199">
        <f t="shared" si="3"/>
        <v>0</v>
      </c>
      <c r="Q22" s="228"/>
      <c r="R22" s="229"/>
      <c r="S22" s="229">
        <v>0</v>
      </c>
      <c r="T22" s="228"/>
      <c r="U22" s="199">
        <f t="shared" si="4"/>
        <v>0</v>
      </c>
      <c r="V22" s="229">
        <v>0</v>
      </c>
      <c r="W22" s="227"/>
      <c r="X22" s="228"/>
      <c r="Y22" s="228"/>
      <c r="Z22" s="199">
        <f t="shared" si="7"/>
        <v>0</v>
      </c>
      <c r="AA22" s="227">
        <v>0</v>
      </c>
      <c r="AB22" s="227">
        <v>0</v>
      </c>
      <c r="AC22" s="199">
        <f t="shared" si="5"/>
        <v>0</v>
      </c>
      <c r="AD22" s="228"/>
      <c r="AE22" s="228"/>
      <c r="AF22" s="228">
        <v>0</v>
      </c>
      <c r="AG22" s="228">
        <v>0</v>
      </c>
      <c r="AH22" s="228"/>
      <c r="AI22" s="228"/>
      <c r="AJ22" s="228"/>
      <c r="AK22" s="199">
        <f t="shared" si="6"/>
        <v>0</v>
      </c>
      <c r="AL22" s="85">
        <f t="shared" si="8"/>
        <v>0</v>
      </c>
      <c r="AN22" s="200"/>
      <c r="AO22" s="69">
        <f t="shared" si="9"/>
        <v>0</v>
      </c>
    </row>
    <row r="23" spans="1:41" s="69" customFormat="1" ht="15">
      <c r="A23" s="77" t="s">
        <v>189</v>
      </c>
      <c r="B23" s="69">
        <v>18</v>
      </c>
      <c r="C23" s="78" t="s">
        <v>190</v>
      </c>
      <c r="D23" s="226"/>
      <c r="E23" s="226"/>
      <c r="F23" s="226"/>
      <c r="G23" s="227"/>
      <c r="H23" s="243"/>
      <c r="I23" s="228"/>
      <c r="J23" s="229"/>
      <c r="K23" s="229"/>
      <c r="L23" s="199">
        <f t="shared" si="2"/>
        <v>0</v>
      </c>
      <c r="M23" s="230"/>
      <c r="N23" s="228"/>
      <c r="O23" s="229"/>
      <c r="P23" s="199">
        <f t="shared" si="3"/>
        <v>0</v>
      </c>
      <c r="Q23" s="228"/>
      <c r="R23" s="229"/>
      <c r="S23" s="229">
        <v>0</v>
      </c>
      <c r="T23" s="228"/>
      <c r="U23" s="199">
        <f t="shared" si="4"/>
        <v>0</v>
      </c>
      <c r="V23" s="229">
        <v>0</v>
      </c>
      <c r="W23" s="227"/>
      <c r="X23" s="228"/>
      <c r="Y23" s="228"/>
      <c r="Z23" s="199">
        <f t="shared" si="7"/>
        <v>0</v>
      </c>
      <c r="AA23" s="227">
        <v>0</v>
      </c>
      <c r="AB23" s="227">
        <v>0</v>
      </c>
      <c r="AC23" s="199">
        <f t="shared" si="5"/>
        <v>0</v>
      </c>
      <c r="AD23" s="228"/>
      <c r="AE23" s="228"/>
      <c r="AF23" s="228">
        <v>24653.87</v>
      </c>
      <c r="AG23" s="228">
        <v>10565.95</v>
      </c>
      <c r="AH23" s="228"/>
      <c r="AI23" s="228"/>
      <c r="AJ23" s="228"/>
      <c r="AK23" s="199">
        <f t="shared" si="6"/>
        <v>35219.82</v>
      </c>
      <c r="AL23" s="85">
        <f t="shared" si="8"/>
        <v>35219.82</v>
      </c>
      <c r="AN23" s="200"/>
      <c r="AO23" s="69">
        <f t="shared" si="9"/>
        <v>1</v>
      </c>
    </row>
    <row r="24" spans="1:41" s="69" customFormat="1" ht="15">
      <c r="A24" s="77" t="s">
        <v>191</v>
      </c>
      <c r="B24" s="69">
        <v>19</v>
      </c>
      <c r="C24" s="78" t="s">
        <v>192</v>
      </c>
      <c r="D24" s="226"/>
      <c r="E24" s="226"/>
      <c r="F24" s="226">
        <v>26533.13</v>
      </c>
      <c r="G24" s="227"/>
      <c r="H24" s="243"/>
      <c r="I24" s="228"/>
      <c r="J24" s="229"/>
      <c r="K24" s="229"/>
      <c r="L24" s="199">
        <f t="shared" si="2"/>
        <v>26533.13</v>
      </c>
      <c r="M24" s="230">
        <v>88226.66</v>
      </c>
      <c r="N24" s="228"/>
      <c r="O24" s="229"/>
      <c r="P24" s="199">
        <f t="shared" si="3"/>
        <v>88226.66</v>
      </c>
      <c r="Q24" s="228">
        <v>92479.53</v>
      </c>
      <c r="R24" s="229">
        <v>34097.57</v>
      </c>
      <c r="S24" s="229">
        <v>28404.1</v>
      </c>
      <c r="T24" s="228"/>
      <c r="U24" s="199">
        <f t="shared" si="4"/>
        <v>154981.2</v>
      </c>
      <c r="V24" s="229">
        <v>30119.07</v>
      </c>
      <c r="W24" s="227"/>
      <c r="X24" s="228"/>
      <c r="Y24" s="228"/>
      <c r="Z24" s="199">
        <f t="shared" si="7"/>
        <v>30119.07</v>
      </c>
      <c r="AA24" s="227">
        <v>0</v>
      </c>
      <c r="AB24" s="227">
        <v>0</v>
      </c>
      <c r="AC24" s="199">
        <f t="shared" si="5"/>
        <v>0</v>
      </c>
      <c r="AD24" s="228">
        <v>177649.02</v>
      </c>
      <c r="AE24" s="228"/>
      <c r="AF24" s="228">
        <v>0</v>
      </c>
      <c r="AG24" s="228">
        <v>0</v>
      </c>
      <c r="AH24" s="228"/>
      <c r="AI24" s="228"/>
      <c r="AJ24" s="228"/>
      <c r="AK24" s="199">
        <f t="shared" si="6"/>
        <v>0</v>
      </c>
      <c r="AL24" s="85">
        <f t="shared" si="8"/>
        <v>477509.0800000001</v>
      </c>
      <c r="AN24" s="200"/>
      <c r="AO24" s="69">
        <f t="shared" si="9"/>
        <v>1</v>
      </c>
    </row>
    <row r="25" spans="1:41" s="69" customFormat="1" ht="15">
      <c r="A25" s="77" t="s">
        <v>193</v>
      </c>
      <c r="B25" s="69">
        <v>20</v>
      </c>
      <c r="C25" s="78" t="s">
        <v>194</v>
      </c>
      <c r="D25" s="226"/>
      <c r="E25" s="226"/>
      <c r="F25" s="226"/>
      <c r="G25" s="227"/>
      <c r="H25" s="243"/>
      <c r="I25" s="228"/>
      <c r="J25" s="229"/>
      <c r="K25" s="229"/>
      <c r="L25" s="199">
        <f t="shared" si="2"/>
        <v>0</v>
      </c>
      <c r="M25" s="230"/>
      <c r="N25" s="228"/>
      <c r="O25" s="229"/>
      <c r="P25" s="199">
        <f t="shared" si="3"/>
        <v>0</v>
      </c>
      <c r="Q25" s="228"/>
      <c r="R25" s="229"/>
      <c r="S25" s="229">
        <v>0</v>
      </c>
      <c r="T25" s="228"/>
      <c r="U25" s="199">
        <f t="shared" si="4"/>
        <v>0</v>
      </c>
      <c r="V25" s="229">
        <v>0</v>
      </c>
      <c r="W25" s="227"/>
      <c r="X25" s="228"/>
      <c r="Y25" s="228"/>
      <c r="Z25" s="199">
        <f t="shared" si="7"/>
        <v>0</v>
      </c>
      <c r="AA25" s="227">
        <v>0</v>
      </c>
      <c r="AB25" s="227">
        <v>0</v>
      </c>
      <c r="AC25" s="199">
        <f t="shared" si="5"/>
        <v>0</v>
      </c>
      <c r="AD25" s="228"/>
      <c r="AE25" s="228"/>
      <c r="AF25" s="228">
        <v>0</v>
      </c>
      <c r="AG25" s="228">
        <v>0</v>
      </c>
      <c r="AH25" s="228"/>
      <c r="AI25" s="228"/>
      <c r="AJ25" s="228"/>
      <c r="AK25" s="199">
        <f t="shared" si="6"/>
        <v>0</v>
      </c>
      <c r="AL25" s="85">
        <f t="shared" si="8"/>
        <v>0</v>
      </c>
      <c r="AN25" s="200"/>
      <c r="AO25" s="69">
        <f t="shared" si="9"/>
        <v>0</v>
      </c>
    </row>
    <row r="26" spans="1:41" s="69" customFormat="1" ht="15">
      <c r="A26" s="77" t="s">
        <v>195</v>
      </c>
      <c r="B26" s="69">
        <v>21</v>
      </c>
      <c r="C26" s="78" t="s">
        <v>196</v>
      </c>
      <c r="D26" s="226">
        <v>150000</v>
      </c>
      <c r="E26" s="226">
        <v>284817.21</v>
      </c>
      <c r="F26" s="226"/>
      <c r="G26" s="227">
        <v>161196.91</v>
      </c>
      <c r="H26" s="243"/>
      <c r="I26" s="228"/>
      <c r="J26" s="229"/>
      <c r="K26" s="229"/>
      <c r="L26" s="199">
        <f t="shared" si="2"/>
        <v>596014.12</v>
      </c>
      <c r="M26" s="230"/>
      <c r="N26" s="228"/>
      <c r="O26" s="229"/>
      <c r="P26" s="199">
        <f t="shared" si="3"/>
        <v>0</v>
      </c>
      <c r="Q26" s="228">
        <v>144422.84</v>
      </c>
      <c r="R26" s="229">
        <v>53811.38</v>
      </c>
      <c r="S26" s="229">
        <v>119582.95</v>
      </c>
      <c r="T26" s="228">
        <v>40524.67</v>
      </c>
      <c r="U26" s="199">
        <f t="shared" si="4"/>
        <v>358341.83999999997</v>
      </c>
      <c r="V26" s="229">
        <v>126803.05</v>
      </c>
      <c r="W26" s="227">
        <v>103220.31</v>
      </c>
      <c r="X26" s="228">
        <v>103223.98</v>
      </c>
      <c r="Y26" s="228">
        <v>313155.28</v>
      </c>
      <c r="Z26" s="199">
        <f t="shared" si="7"/>
        <v>646402.62</v>
      </c>
      <c r="AA26" s="227">
        <v>241490.12</v>
      </c>
      <c r="AB26" s="227">
        <v>241490.12</v>
      </c>
      <c r="AC26" s="199">
        <f t="shared" si="5"/>
        <v>482980.24</v>
      </c>
      <c r="AD26" s="228">
        <v>515913</v>
      </c>
      <c r="AE26" s="228"/>
      <c r="AF26" s="228">
        <v>1934492.67</v>
      </c>
      <c r="AG26" s="228">
        <v>0</v>
      </c>
      <c r="AH26" s="228"/>
      <c r="AI26" s="228"/>
      <c r="AJ26" s="228"/>
      <c r="AK26" s="199">
        <f t="shared" si="6"/>
        <v>1934492.67</v>
      </c>
      <c r="AL26" s="85">
        <f t="shared" si="8"/>
        <v>4534144.49</v>
      </c>
      <c r="AN26" s="200"/>
      <c r="AO26" s="69">
        <f t="shared" si="9"/>
        <v>1</v>
      </c>
    </row>
    <row r="27" spans="1:41" s="69" customFormat="1" ht="15">
      <c r="A27" s="77" t="s">
        <v>197</v>
      </c>
      <c r="B27" s="69">
        <v>22</v>
      </c>
      <c r="C27" s="78" t="s">
        <v>198</v>
      </c>
      <c r="D27" s="226"/>
      <c r="E27" s="226"/>
      <c r="F27" s="226"/>
      <c r="G27" s="227"/>
      <c r="H27" s="243"/>
      <c r="I27" s="228"/>
      <c r="J27" s="229"/>
      <c r="K27" s="229"/>
      <c r="L27" s="199">
        <f t="shared" si="2"/>
        <v>0</v>
      </c>
      <c r="M27" s="230"/>
      <c r="N27" s="228"/>
      <c r="O27" s="229">
        <v>18762.07</v>
      </c>
      <c r="P27" s="199">
        <f t="shared" si="3"/>
        <v>18762.07</v>
      </c>
      <c r="Q27" s="228"/>
      <c r="R27" s="229"/>
      <c r="S27" s="229">
        <v>0</v>
      </c>
      <c r="T27" s="228"/>
      <c r="U27" s="199">
        <f t="shared" si="4"/>
        <v>0</v>
      </c>
      <c r="V27" s="229">
        <v>0</v>
      </c>
      <c r="W27" s="227"/>
      <c r="X27" s="228"/>
      <c r="Y27" s="228"/>
      <c r="Z27" s="199">
        <f t="shared" si="7"/>
        <v>0</v>
      </c>
      <c r="AA27" s="227">
        <v>0</v>
      </c>
      <c r="AB27" s="227">
        <v>0</v>
      </c>
      <c r="AC27" s="199">
        <f t="shared" si="5"/>
        <v>0</v>
      </c>
      <c r="AD27" s="228"/>
      <c r="AE27" s="228"/>
      <c r="AF27" s="228">
        <v>0</v>
      </c>
      <c r="AG27" s="228">
        <v>0</v>
      </c>
      <c r="AH27" s="228"/>
      <c r="AI27" s="228"/>
      <c r="AJ27" s="228"/>
      <c r="AK27" s="199">
        <f t="shared" si="6"/>
        <v>0</v>
      </c>
      <c r="AL27" s="85">
        <f t="shared" si="8"/>
        <v>18762.07</v>
      </c>
      <c r="AN27" s="200"/>
      <c r="AO27" s="69">
        <f t="shared" si="9"/>
        <v>1</v>
      </c>
    </row>
    <row r="28" spans="1:41" s="69" customFormat="1" ht="15">
      <c r="A28" s="77" t="s">
        <v>199</v>
      </c>
      <c r="B28" s="69">
        <v>23</v>
      </c>
      <c r="C28" s="78" t="s">
        <v>200</v>
      </c>
      <c r="D28" s="226"/>
      <c r="E28" s="226"/>
      <c r="F28" s="226"/>
      <c r="G28" s="227">
        <v>29451.36</v>
      </c>
      <c r="H28" s="243"/>
      <c r="I28" s="228"/>
      <c r="J28" s="229"/>
      <c r="K28" s="229"/>
      <c r="L28" s="199">
        <f t="shared" si="2"/>
        <v>29451.36</v>
      </c>
      <c r="M28" s="230"/>
      <c r="N28" s="228"/>
      <c r="O28" s="229"/>
      <c r="P28" s="199">
        <f t="shared" si="3"/>
        <v>0</v>
      </c>
      <c r="Q28" s="228"/>
      <c r="R28" s="229"/>
      <c r="S28" s="229">
        <v>0</v>
      </c>
      <c r="T28" s="228"/>
      <c r="U28" s="199">
        <f t="shared" si="4"/>
        <v>0</v>
      </c>
      <c r="V28" s="229">
        <v>0</v>
      </c>
      <c r="W28" s="227"/>
      <c r="X28" s="228"/>
      <c r="Y28" s="228"/>
      <c r="Z28" s="199">
        <f t="shared" si="7"/>
        <v>0</v>
      </c>
      <c r="AA28" s="227">
        <v>0</v>
      </c>
      <c r="AB28" s="227">
        <v>0</v>
      </c>
      <c r="AC28" s="199">
        <f t="shared" si="5"/>
        <v>0</v>
      </c>
      <c r="AD28" s="228"/>
      <c r="AE28" s="228"/>
      <c r="AF28" s="228">
        <v>0</v>
      </c>
      <c r="AG28" s="228">
        <v>0</v>
      </c>
      <c r="AH28" s="228"/>
      <c r="AI28" s="228"/>
      <c r="AJ28" s="228"/>
      <c r="AK28" s="199">
        <f t="shared" si="6"/>
        <v>0</v>
      </c>
      <c r="AL28" s="85">
        <f t="shared" si="8"/>
        <v>29451.36</v>
      </c>
      <c r="AN28" s="200"/>
      <c r="AO28" s="69">
        <f t="shared" si="9"/>
        <v>1</v>
      </c>
    </row>
    <row r="29" spans="1:41" s="69" customFormat="1" ht="15">
      <c r="A29" s="77" t="s">
        <v>201</v>
      </c>
      <c r="B29" s="69">
        <v>24</v>
      </c>
      <c r="C29" s="78" t="s">
        <v>202</v>
      </c>
      <c r="D29" s="226"/>
      <c r="E29" s="226"/>
      <c r="F29" s="226"/>
      <c r="G29" s="227">
        <v>83310.03</v>
      </c>
      <c r="H29" s="243"/>
      <c r="I29" s="228"/>
      <c r="J29" s="229"/>
      <c r="K29" s="229">
        <v>260943.75</v>
      </c>
      <c r="L29" s="199">
        <f t="shared" si="2"/>
        <v>344253.78</v>
      </c>
      <c r="M29" s="230">
        <v>172881.33</v>
      </c>
      <c r="N29" s="228"/>
      <c r="O29" s="229"/>
      <c r="P29" s="199">
        <f t="shared" si="3"/>
        <v>172881.33</v>
      </c>
      <c r="Q29" s="228"/>
      <c r="R29" s="229"/>
      <c r="S29" s="229">
        <v>18368.03</v>
      </c>
      <c r="T29" s="228">
        <v>6224.62</v>
      </c>
      <c r="U29" s="199">
        <f t="shared" si="4"/>
        <v>24592.649999999998</v>
      </c>
      <c r="V29" s="229">
        <v>19477.05</v>
      </c>
      <c r="W29" s="227">
        <v>15854.72</v>
      </c>
      <c r="X29" s="228">
        <v>15855.29</v>
      </c>
      <c r="Y29" s="228"/>
      <c r="Z29" s="199">
        <f t="shared" si="7"/>
        <v>51187.06</v>
      </c>
      <c r="AA29" s="227">
        <v>37093.07</v>
      </c>
      <c r="AB29" s="227">
        <v>37093.07</v>
      </c>
      <c r="AC29" s="199">
        <f t="shared" si="5"/>
        <v>74186.14</v>
      </c>
      <c r="AD29" s="228"/>
      <c r="AE29" s="228"/>
      <c r="AF29" s="228">
        <v>0</v>
      </c>
      <c r="AG29" s="228">
        <v>0</v>
      </c>
      <c r="AH29" s="228"/>
      <c r="AI29" s="228"/>
      <c r="AJ29" s="228"/>
      <c r="AK29" s="199">
        <f t="shared" si="6"/>
        <v>0</v>
      </c>
      <c r="AL29" s="85">
        <f t="shared" si="8"/>
        <v>667100.96</v>
      </c>
      <c r="AN29" s="200"/>
      <c r="AO29" s="69">
        <f t="shared" si="9"/>
        <v>1</v>
      </c>
    </row>
    <row r="30" spans="1:41" s="69" customFormat="1" ht="15">
      <c r="A30" s="77" t="s">
        <v>203</v>
      </c>
      <c r="B30" s="69">
        <v>25</v>
      </c>
      <c r="C30" s="78" t="s">
        <v>204</v>
      </c>
      <c r="D30" s="226"/>
      <c r="E30" s="226"/>
      <c r="F30" s="226">
        <v>80086.85</v>
      </c>
      <c r="G30" s="227"/>
      <c r="H30" s="243">
        <v>87601.6</v>
      </c>
      <c r="I30" s="228"/>
      <c r="J30" s="229"/>
      <c r="K30" s="229"/>
      <c r="L30" s="199">
        <f t="shared" si="2"/>
        <v>167688.45</v>
      </c>
      <c r="M30" s="230">
        <v>137837.05</v>
      </c>
      <c r="N30" s="228"/>
      <c r="O30" s="229">
        <v>94444.51999999999</v>
      </c>
      <c r="P30" s="199">
        <f t="shared" si="3"/>
        <v>232281.56999999998</v>
      </c>
      <c r="Q30" s="228">
        <v>53741.04</v>
      </c>
      <c r="R30" s="229"/>
      <c r="S30" s="229">
        <v>95850.01</v>
      </c>
      <c r="T30" s="228">
        <v>8301.8</v>
      </c>
      <c r="U30" s="199">
        <f t="shared" si="4"/>
        <v>157892.84999999998</v>
      </c>
      <c r="V30" s="229">
        <v>101637.19</v>
      </c>
      <c r="W30" s="227">
        <v>21145.49</v>
      </c>
      <c r="X30" s="228">
        <v>21146.24</v>
      </c>
      <c r="Y30" s="228">
        <v>325643.83</v>
      </c>
      <c r="Z30" s="199">
        <f t="shared" si="7"/>
        <v>469572.75</v>
      </c>
      <c r="AA30" s="227">
        <v>49471.15</v>
      </c>
      <c r="AB30" s="227">
        <v>49471.15</v>
      </c>
      <c r="AC30" s="199">
        <f t="shared" si="5"/>
        <v>98942.3</v>
      </c>
      <c r="AD30" s="228">
        <v>515973.7</v>
      </c>
      <c r="AE30" s="228"/>
      <c r="AF30" s="228">
        <v>2255069.41</v>
      </c>
      <c r="AG30" s="228">
        <v>241464.5</v>
      </c>
      <c r="AH30" s="228"/>
      <c r="AI30" s="228"/>
      <c r="AJ30" s="228"/>
      <c r="AK30" s="199">
        <f t="shared" si="6"/>
        <v>2496533.91</v>
      </c>
      <c r="AL30" s="85">
        <f t="shared" si="8"/>
        <v>4138885.5300000003</v>
      </c>
      <c r="AN30" s="200"/>
      <c r="AO30" s="69">
        <f t="shared" si="9"/>
        <v>1</v>
      </c>
    </row>
    <row r="31" spans="1:41" s="69" customFormat="1" ht="15">
      <c r="A31" s="77" t="s">
        <v>205</v>
      </c>
      <c r="B31" s="69">
        <v>26</v>
      </c>
      <c r="C31" s="78" t="s">
        <v>206</v>
      </c>
      <c r="D31" s="226"/>
      <c r="E31" s="226"/>
      <c r="F31" s="226"/>
      <c r="G31" s="227">
        <v>88306.13</v>
      </c>
      <c r="H31" s="243"/>
      <c r="I31" s="228"/>
      <c r="J31" s="229"/>
      <c r="K31" s="229"/>
      <c r="L31" s="199">
        <f t="shared" si="2"/>
        <v>88306.13</v>
      </c>
      <c r="M31" s="230">
        <v>248559.77</v>
      </c>
      <c r="N31" s="228"/>
      <c r="O31" s="229"/>
      <c r="P31" s="199">
        <f t="shared" si="3"/>
        <v>248559.77</v>
      </c>
      <c r="Q31" s="228">
        <v>187653.34</v>
      </c>
      <c r="R31" s="229">
        <v>69918.9</v>
      </c>
      <c r="S31" s="229">
        <v>60736.8</v>
      </c>
      <c r="T31" s="228"/>
      <c r="U31" s="199">
        <f t="shared" si="4"/>
        <v>318309.04</v>
      </c>
      <c r="V31" s="229">
        <v>64403.94</v>
      </c>
      <c r="W31" s="227"/>
      <c r="X31" s="228"/>
      <c r="Y31" s="228"/>
      <c r="Z31" s="199">
        <f t="shared" si="7"/>
        <v>64403.94</v>
      </c>
      <c r="AA31" s="227">
        <v>0</v>
      </c>
      <c r="AB31" s="227">
        <v>0</v>
      </c>
      <c r="AC31" s="199">
        <f t="shared" si="5"/>
        <v>0</v>
      </c>
      <c r="AD31" s="228">
        <v>664782.84</v>
      </c>
      <c r="AE31" s="228"/>
      <c r="AF31" s="228">
        <v>1551159.96</v>
      </c>
      <c r="AG31" s="228">
        <v>0</v>
      </c>
      <c r="AH31" s="228"/>
      <c r="AI31" s="228"/>
      <c r="AJ31" s="228"/>
      <c r="AK31" s="199">
        <f t="shared" si="6"/>
        <v>1551159.96</v>
      </c>
      <c r="AL31" s="85">
        <f t="shared" si="8"/>
        <v>2935521.6799999997</v>
      </c>
      <c r="AN31" s="200"/>
      <c r="AO31" s="69">
        <f t="shared" si="9"/>
        <v>1</v>
      </c>
    </row>
    <row r="32" spans="1:41" s="69" customFormat="1" ht="15">
      <c r="A32" s="77" t="s">
        <v>207</v>
      </c>
      <c r="B32" s="69">
        <v>27</v>
      </c>
      <c r="C32" s="78" t="s">
        <v>208</v>
      </c>
      <c r="D32" s="226"/>
      <c r="E32" s="226"/>
      <c r="F32" s="226"/>
      <c r="G32" s="227">
        <v>85646.13</v>
      </c>
      <c r="H32" s="243"/>
      <c r="I32" s="228"/>
      <c r="J32" s="229"/>
      <c r="K32" s="229"/>
      <c r="L32" s="199">
        <f t="shared" si="2"/>
        <v>85646.13</v>
      </c>
      <c r="M32" s="230">
        <v>23396.99</v>
      </c>
      <c r="N32" s="228"/>
      <c r="O32" s="229"/>
      <c r="P32" s="199">
        <f t="shared" si="3"/>
        <v>23396.99</v>
      </c>
      <c r="Q32" s="228"/>
      <c r="R32" s="229"/>
      <c r="S32" s="229">
        <v>67578.53</v>
      </c>
      <c r="T32" s="228"/>
      <c r="U32" s="199">
        <f t="shared" si="4"/>
        <v>67578.53</v>
      </c>
      <c r="V32" s="229">
        <v>71658.74</v>
      </c>
      <c r="W32" s="227"/>
      <c r="X32" s="228"/>
      <c r="Y32" s="228"/>
      <c r="Z32" s="199">
        <f t="shared" si="7"/>
        <v>71658.74</v>
      </c>
      <c r="AA32" s="227">
        <v>0</v>
      </c>
      <c r="AB32" s="227">
        <v>0</v>
      </c>
      <c r="AC32" s="199">
        <f t="shared" si="5"/>
        <v>0</v>
      </c>
      <c r="AD32" s="228">
        <v>327180.65</v>
      </c>
      <c r="AE32" s="228"/>
      <c r="AF32" s="228">
        <v>258880.07</v>
      </c>
      <c r="AG32" s="228">
        <v>2469.98</v>
      </c>
      <c r="AH32" s="228"/>
      <c r="AI32" s="228"/>
      <c r="AJ32" s="228"/>
      <c r="AK32" s="199">
        <f>SUM(AF32:AJ32)</f>
        <v>261350.05000000002</v>
      </c>
      <c r="AL32" s="85">
        <f t="shared" si="8"/>
        <v>836811.0900000001</v>
      </c>
      <c r="AN32" s="200"/>
      <c r="AO32" s="69">
        <f t="shared" si="9"/>
        <v>1</v>
      </c>
    </row>
    <row r="33" spans="1:41" s="69" customFormat="1" ht="15">
      <c r="A33" s="77" t="s">
        <v>209</v>
      </c>
      <c r="B33" s="69">
        <v>28</v>
      </c>
      <c r="C33" s="78" t="s">
        <v>210</v>
      </c>
      <c r="D33" s="226"/>
      <c r="E33" s="226"/>
      <c r="F33" s="226"/>
      <c r="G33" s="227"/>
      <c r="H33" s="243"/>
      <c r="I33" s="228"/>
      <c r="J33" s="229"/>
      <c r="K33" s="229"/>
      <c r="L33" s="199">
        <f t="shared" si="2"/>
        <v>0</v>
      </c>
      <c r="M33" s="230">
        <v>68355.55</v>
      </c>
      <c r="N33" s="228"/>
      <c r="O33" s="229"/>
      <c r="P33" s="199">
        <f t="shared" si="3"/>
        <v>68355.55</v>
      </c>
      <c r="Q33" s="228"/>
      <c r="R33" s="229"/>
      <c r="S33" s="229">
        <v>28238.2</v>
      </c>
      <c r="T33" s="228">
        <v>9569.45</v>
      </c>
      <c r="U33" s="199">
        <f t="shared" si="4"/>
        <v>37807.65</v>
      </c>
      <c r="V33" s="229">
        <v>29943.14</v>
      </c>
      <c r="W33" s="227">
        <v>24374.34</v>
      </c>
      <c r="X33" s="228">
        <v>24375.21</v>
      </c>
      <c r="Y33" s="228">
        <v>13187.04</v>
      </c>
      <c r="Z33" s="199">
        <f t="shared" si="7"/>
        <v>91879.73000000001</v>
      </c>
      <c r="AA33" s="227">
        <v>57025.23</v>
      </c>
      <c r="AB33" s="227">
        <v>57025.23</v>
      </c>
      <c r="AC33" s="199">
        <f t="shared" si="5"/>
        <v>114050.46</v>
      </c>
      <c r="AD33" s="228"/>
      <c r="AE33" s="228"/>
      <c r="AF33" s="228">
        <v>30769.77</v>
      </c>
      <c r="AG33" s="228">
        <v>0</v>
      </c>
      <c r="AH33" s="228"/>
      <c r="AI33" s="228"/>
      <c r="AJ33" s="228"/>
      <c r="AK33" s="199">
        <f t="shared" si="6"/>
        <v>30769.77</v>
      </c>
      <c r="AL33" s="85">
        <f t="shared" si="8"/>
        <v>342863.16000000003</v>
      </c>
      <c r="AN33" s="200"/>
      <c r="AO33" s="69">
        <f t="shared" si="9"/>
        <v>1</v>
      </c>
    </row>
    <row r="34" spans="1:41" s="69" customFormat="1" ht="15">
      <c r="A34" s="77" t="s">
        <v>211</v>
      </c>
      <c r="B34" s="69">
        <v>29</v>
      </c>
      <c r="C34" s="78" t="s">
        <v>212</v>
      </c>
      <c r="D34" s="226">
        <v>150000</v>
      </c>
      <c r="E34" s="226">
        <v>416513.63</v>
      </c>
      <c r="F34" s="226">
        <v>426678.34</v>
      </c>
      <c r="G34" s="227">
        <v>446106.37</v>
      </c>
      <c r="H34" s="243"/>
      <c r="I34" s="228"/>
      <c r="J34" s="229"/>
      <c r="K34" s="229"/>
      <c r="L34" s="199">
        <f t="shared" si="2"/>
        <v>1439298.3399999999</v>
      </c>
      <c r="M34" s="230">
        <v>26223.16</v>
      </c>
      <c r="N34" s="228"/>
      <c r="O34" s="229">
        <v>43276.64</v>
      </c>
      <c r="P34" s="199">
        <f t="shared" si="3"/>
        <v>69499.8</v>
      </c>
      <c r="Q34" s="228">
        <v>594681.38</v>
      </c>
      <c r="R34" s="229">
        <v>221518.71</v>
      </c>
      <c r="S34" s="229">
        <v>91136.37</v>
      </c>
      <c r="T34" s="228">
        <v>42589.96</v>
      </c>
      <c r="U34" s="199">
        <f t="shared" si="4"/>
        <v>949926.4199999999</v>
      </c>
      <c r="V34" s="229">
        <v>96638.93</v>
      </c>
      <c r="W34" s="227">
        <v>108480.81</v>
      </c>
      <c r="X34" s="228">
        <v>108484.67</v>
      </c>
      <c r="Y34" s="228">
        <v>511619.8</v>
      </c>
      <c r="Z34" s="199">
        <f t="shared" si="7"/>
        <v>825224.21</v>
      </c>
      <c r="AA34" s="227">
        <v>253797.37</v>
      </c>
      <c r="AB34" s="227">
        <v>253797.37</v>
      </c>
      <c r="AC34" s="199">
        <f t="shared" si="5"/>
        <v>507594.74</v>
      </c>
      <c r="AD34" s="228"/>
      <c r="AE34" s="228"/>
      <c r="AF34" s="228">
        <v>1193779.51</v>
      </c>
      <c r="AG34" s="228">
        <v>0</v>
      </c>
      <c r="AH34" s="228"/>
      <c r="AI34" s="228"/>
      <c r="AJ34" s="228"/>
      <c r="AK34" s="199">
        <f t="shared" si="6"/>
        <v>1193779.51</v>
      </c>
      <c r="AL34" s="85">
        <f t="shared" si="8"/>
        <v>4985323.02</v>
      </c>
      <c r="AN34" s="200"/>
      <c r="AO34" s="69">
        <f t="shared" si="9"/>
        <v>1</v>
      </c>
    </row>
    <row r="35" spans="1:41" s="69" customFormat="1" ht="15">
      <c r="A35" s="77" t="s">
        <v>213</v>
      </c>
      <c r="B35" s="69">
        <v>30</v>
      </c>
      <c r="C35" s="78" t="s">
        <v>214</v>
      </c>
      <c r="D35" s="226"/>
      <c r="E35" s="226"/>
      <c r="F35" s="226"/>
      <c r="G35" s="227"/>
      <c r="H35" s="243">
        <v>125485.62</v>
      </c>
      <c r="I35" s="228"/>
      <c r="J35" s="229"/>
      <c r="K35" s="229"/>
      <c r="L35" s="199">
        <f t="shared" si="2"/>
        <v>125485.62</v>
      </c>
      <c r="M35" s="230">
        <v>88085.71</v>
      </c>
      <c r="N35" s="228"/>
      <c r="O35" s="229"/>
      <c r="P35" s="199">
        <f t="shared" si="3"/>
        <v>88085.71</v>
      </c>
      <c r="Q35" s="228">
        <v>105574.86</v>
      </c>
      <c r="R35" s="229">
        <v>39336.78</v>
      </c>
      <c r="S35" s="229">
        <v>34100.18</v>
      </c>
      <c r="T35" s="228"/>
      <c r="U35" s="199">
        <f t="shared" si="4"/>
        <v>179011.82</v>
      </c>
      <c r="V35" s="229">
        <v>36159.05</v>
      </c>
      <c r="W35" s="227"/>
      <c r="X35" s="228"/>
      <c r="Y35" s="228"/>
      <c r="Z35" s="199">
        <f t="shared" si="7"/>
        <v>36159.05</v>
      </c>
      <c r="AA35" s="227">
        <v>0</v>
      </c>
      <c r="AB35" s="227">
        <v>0</v>
      </c>
      <c r="AC35" s="199">
        <f t="shared" si="5"/>
        <v>0</v>
      </c>
      <c r="AD35" s="228"/>
      <c r="AE35" s="228"/>
      <c r="AF35" s="228">
        <v>0</v>
      </c>
      <c r="AG35" s="228">
        <v>0</v>
      </c>
      <c r="AH35" s="228"/>
      <c r="AI35" s="228"/>
      <c r="AJ35" s="228"/>
      <c r="AK35" s="199">
        <f t="shared" si="6"/>
        <v>0</v>
      </c>
      <c r="AL35" s="85">
        <f t="shared" si="8"/>
        <v>428742.2</v>
      </c>
      <c r="AN35" s="200"/>
      <c r="AO35" s="69">
        <f t="shared" si="9"/>
        <v>1</v>
      </c>
    </row>
    <row r="36" spans="1:41" s="69" customFormat="1" ht="15">
      <c r="A36" s="77" t="s">
        <v>215</v>
      </c>
      <c r="B36" s="69">
        <v>31</v>
      </c>
      <c r="C36" s="78" t="s">
        <v>216</v>
      </c>
      <c r="D36" s="226"/>
      <c r="E36" s="226"/>
      <c r="F36" s="226"/>
      <c r="G36" s="227"/>
      <c r="H36" s="243"/>
      <c r="I36" s="228"/>
      <c r="J36" s="229"/>
      <c r="K36" s="229"/>
      <c r="L36" s="199">
        <f t="shared" si="2"/>
        <v>0</v>
      </c>
      <c r="M36" s="230"/>
      <c r="N36" s="228">
        <v>10000</v>
      </c>
      <c r="O36" s="229"/>
      <c r="P36" s="199">
        <f t="shared" si="3"/>
        <v>10000</v>
      </c>
      <c r="Q36" s="228"/>
      <c r="R36" s="229"/>
      <c r="S36" s="229">
        <v>0</v>
      </c>
      <c r="T36" s="228"/>
      <c r="U36" s="199">
        <f t="shared" si="4"/>
        <v>0</v>
      </c>
      <c r="V36" s="229">
        <v>0</v>
      </c>
      <c r="W36" s="227"/>
      <c r="X36" s="228"/>
      <c r="Y36" s="228"/>
      <c r="Z36" s="199">
        <f t="shared" si="7"/>
        <v>0</v>
      </c>
      <c r="AA36" s="227">
        <v>0</v>
      </c>
      <c r="AB36" s="227">
        <v>0</v>
      </c>
      <c r="AC36" s="199">
        <f t="shared" si="5"/>
        <v>0</v>
      </c>
      <c r="AD36" s="228"/>
      <c r="AE36" s="228"/>
      <c r="AF36" s="228">
        <v>56000</v>
      </c>
      <c r="AG36" s="228">
        <v>24000</v>
      </c>
      <c r="AH36" s="228"/>
      <c r="AI36" s="228"/>
      <c r="AJ36" s="228"/>
      <c r="AK36" s="199">
        <f t="shared" si="6"/>
        <v>80000</v>
      </c>
      <c r="AL36" s="85">
        <f t="shared" si="8"/>
        <v>90000</v>
      </c>
      <c r="AN36" s="200"/>
      <c r="AO36" s="69">
        <f t="shared" si="9"/>
        <v>1</v>
      </c>
    </row>
    <row r="37" spans="1:41" s="69" customFormat="1" ht="15">
      <c r="A37" s="77" t="s">
        <v>217</v>
      </c>
      <c r="B37" s="69">
        <v>32</v>
      </c>
      <c r="C37" s="78" t="s">
        <v>218</v>
      </c>
      <c r="D37" s="226"/>
      <c r="E37" s="226"/>
      <c r="F37" s="226"/>
      <c r="G37" s="227"/>
      <c r="H37" s="243"/>
      <c r="I37" s="228"/>
      <c r="J37" s="229"/>
      <c r="K37" s="229"/>
      <c r="L37" s="199">
        <f t="shared" si="2"/>
        <v>0</v>
      </c>
      <c r="M37" s="230"/>
      <c r="N37" s="228"/>
      <c r="O37" s="229"/>
      <c r="P37" s="199">
        <f t="shared" si="3"/>
        <v>0</v>
      </c>
      <c r="Q37" s="228"/>
      <c r="R37" s="229"/>
      <c r="S37" s="229">
        <v>0</v>
      </c>
      <c r="T37" s="228"/>
      <c r="U37" s="199">
        <f t="shared" si="4"/>
        <v>0</v>
      </c>
      <c r="V37" s="229">
        <v>0</v>
      </c>
      <c r="W37" s="227"/>
      <c r="X37" s="228"/>
      <c r="Y37" s="228"/>
      <c r="Z37" s="199">
        <f t="shared" si="7"/>
        <v>0</v>
      </c>
      <c r="AA37" s="227">
        <v>0</v>
      </c>
      <c r="AB37" s="227">
        <v>0</v>
      </c>
      <c r="AC37" s="199">
        <f t="shared" si="5"/>
        <v>0</v>
      </c>
      <c r="AD37" s="228"/>
      <c r="AE37" s="228"/>
      <c r="AF37" s="228">
        <v>0</v>
      </c>
      <c r="AG37" s="228">
        <v>0</v>
      </c>
      <c r="AH37" s="228"/>
      <c r="AI37" s="228"/>
      <c r="AJ37" s="228"/>
      <c r="AK37" s="199">
        <f t="shared" si="6"/>
        <v>0</v>
      </c>
      <c r="AL37" s="85">
        <f t="shared" si="8"/>
        <v>0</v>
      </c>
      <c r="AN37" s="200"/>
      <c r="AO37" s="69">
        <f t="shared" si="9"/>
        <v>0</v>
      </c>
    </row>
    <row r="38" spans="1:41" s="69" customFormat="1" ht="15">
      <c r="A38" s="77" t="s">
        <v>219</v>
      </c>
      <c r="B38" s="69">
        <v>33</v>
      </c>
      <c r="C38" s="78" t="s">
        <v>220</v>
      </c>
      <c r="D38" s="226"/>
      <c r="E38" s="226"/>
      <c r="F38" s="226"/>
      <c r="G38" s="227"/>
      <c r="H38" s="243"/>
      <c r="I38" s="228"/>
      <c r="J38" s="229"/>
      <c r="K38" s="229"/>
      <c r="L38" s="199">
        <f t="shared" si="2"/>
        <v>0</v>
      </c>
      <c r="M38" s="230">
        <v>372022.18</v>
      </c>
      <c r="N38" s="228"/>
      <c r="O38" s="229"/>
      <c r="P38" s="199">
        <f t="shared" si="3"/>
        <v>372022.18</v>
      </c>
      <c r="Q38" s="228">
        <v>909828.5</v>
      </c>
      <c r="R38" s="229">
        <v>338998.53</v>
      </c>
      <c r="S38" s="229">
        <v>196502.14</v>
      </c>
      <c r="T38" s="228">
        <v>66591.3</v>
      </c>
      <c r="U38" s="199">
        <f aca="true" t="shared" si="10" ref="U38:U70">SUM(Q38:T38)</f>
        <v>1511920.47</v>
      </c>
      <c r="V38" s="229">
        <v>208366.42</v>
      </c>
      <c r="W38" s="227">
        <v>169614.58</v>
      </c>
      <c r="X38" s="228">
        <v>169620.62</v>
      </c>
      <c r="Y38" s="228"/>
      <c r="Z38" s="199">
        <f t="shared" si="7"/>
        <v>547601.62</v>
      </c>
      <c r="AA38" s="227">
        <v>396823.51</v>
      </c>
      <c r="AB38" s="227">
        <v>396823.51</v>
      </c>
      <c r="AC38" s="199">
        <f t="shared" si="5"/>
        <v>793647.02</v>
      </c>
      <c r="AD38" s="228">
        <v>664210.35</v>
      </c>
      <c r="AE38" s="228"/>
      <c r="AF38" s="228">
        <v>1549824.15</v>
      </c>
      <c r="AG38" s="228">
        <v>0</v>
      </c>
      <c r="AH38" s="228"/>
      <c r="AI38" s="228"/>
      <c r="AJ38" s="228"/>
      <c r="AK38" s="199">
        <f t="shared" si="6"/>
        <v>1549824.15</v>
      </c>
      <c r="AL38" s="85">
        <f t="shared" si="8"/>
        <v>5439225.79</v>
      </c>
      <c r="AN38" s="200"/>
      <c r="AO38" s="69">
        <f t="shared" si="9"/>
        <v>1</v>
      </c>
    </row>
    <row r="39" spans="1:41" s="69" customFormat="1" ht="15">
      <c r="A39" s="77" t="s">
        <v>221</v>
      </c>
      <c r="B39" s="69">
        <v>34</v>
      </c>
      <c r="C39" s="78" t="s">
        <v>222</v>
      </c>
      <c r="D39" s="226"/>
      <c r="E39" s="226"/>
      <c r="F39" s="226"/>
      <c r="G39" s="227"/>
      <c r="H39" s="243"/>
      <c r="I39" s="228">
        <v>269545.06</v>
      </c>
      <c r="J39" s="229"/>
      <c r="K39" s="229"/>
      <c r="L39" s="199">
        <f t="shared" si="2"/>
        <v>269545.06</v>
      </c>
      <c r="M39" s="230"/>
      <c r="N39" s="228"/>
      <c r="O39" s="229">
        <v>68575.31</v>
      </c>
      <c r="P39" s="199">
        <f t="shared" si="3"/>
        <v>68575.31</v>
      </c>
      <c r="Q39" s="228">
        <v>39020.88</v>
      </c>
      <c r="R39" s="229"/>
      <c r="S39" s="229">
        <v>34246.98</v>
      </c>
      <c r="T39" s="228"/>
      <c r="U39" s="199">
        <f t="shared" si="10"/>
        <v>73267.86</v>
      </c>
      <c r="V39" s="229">
        <v>36314.72</v>
      </c>
      <c r="W39" s="227"/>
      <c r="X39" s="228"/>
      <c r="Y39" s="228"/>
      <c r="Z39" s="199">
        <f t="shared" si="7"/>
        <v>36314.72</v>
      </c>
      <c r="AA39" s="227">
        <v>0</v>
      </c>
      <c r="AB39" s="227">
        <v>0</v>
      </c>
      <c r="AC39" s="199">
        <f t="shared" si="5"/>
        <v>0</v>
      </c>
      <c r="AD39" s="228">
        <v>55014.86</v>
      </c>
      <c r="AE39" s="228"/>
      <c r="AF39" s="228">
        <v>0</v>
      </c>
      <c r="AG39" s="228">
        <v>0</v>
      </c>
      <c r="AH39" s="228"/>
      <c r="AI39" s="228"/>
      <c r="AJ39" s="228"/>
      <c r="AK39" s="199">
        <f t="shared" si="6"/>
        <v>0</v>
      </c>
      <c r="AL39" s="85">
        <f t="shared" si="8"/>
        <v>502717.81</v>
      </c>
      <c r="AN39" s="200"/>
      <c r="AO39" s="69">
        <f t="shared" si="9"/>
        <v>1</v>
      </c>
    </row>
    <row r="40" spans="1:41" s="69" customFormat="1" ht="15">
      <c r="A40" s="77" t="s">
        <v>223</v>
      </c>
      <c r="B40" s="69">
        <v>35</v>
      </c>
      <c r="C40" s="78" t="s">
        <v>224</v>
      </c>
      <c r="D40" s="226"/>
      <c r="E40" s="226"/>
      <c r="F40" s="226"/>
      <c r="G40" s="227"/>
      <c r="H40" s="243"/>
      <c r="I40" s="228"/>
      <c r="J40" s="229"/>
      <c r="K40" s="229"/>
      <c r="L40" s="199">
        <f t="shared" si="2"/>
        <v>0</v>
      </c>
      <c r="M40" s="230"/>
      <c r="N40" s="228"/>
      <c r="O40" s="229"/>
      <c r="P40" s="199">
        <f t="shared" si="3"/>
        <v>0</v>
      </c>
      <c r="Q40" s="228"/>
      <c r="R40" s="229"/>
      <c r="S40" s="229">
        <v>0</v>
      </c>
      <c r="T40" s="228"/>
      <c r="U40" s="199">
        <f t="shared" si="10"/>
        <v>0</v>
      </c>
      <c r="V40" s="229">
        <v>0</v>
      </c>
      <c r="W40" s="227"/>
      <c r="X40" s="228"/>
      <c r="Y40" s="228"/>
      <c r="Z40" s="199">
        <f t="shared" si="7"/>
        <v>0</v>
      </c>
      <c r="AA40" s="227">
        <v>0</v>
      </c>
      <c r="AB40" s="227">
        <v>0</v>
      </c>
      <c r="AC40" s="199">
        <f t="shared" si="5"/>
        <v>0</v>
      </c>
      <c r="AD40" s="228">
        <v>311923.89</v>
      </c>
      <c r="AE40" s="228"/>
      <c r="AF40" s="228">
        <v>0</v>
      </c>
      <c r="AG40" s="228">
        <v>0</v>
      </c>
      <c r="AH40" s="228"/>
      <c r="AI40" s="228"/>
      <c r="AJ40" s="228"/>
      <c r="AK40" s="199">
        <f t="shared" si="6"/>
        <v>0</v>
      </c>
      <c r="AL40" s="85">
        <f t="shared" si="8"/>
        <v>311923.89</v>
      </c>
      <c r="AN40" s="200"/>
      <c r="AO40" s="69">
        <f t="shared" si="9"/>
        <v>1</v>
      </c>
    </row>
    <row r="41" spans="1:41" s="69" customFormat="1" ht="15">
      <c r="A41" s="77" t="s">
        <v>225</v>
      </c>
      <c r="B41" s="69">
        <v>36</v>
      </c>
      <c r="C41" s="78" t="s">
        <v>226</v>
      </c>
      <c r="D41" s="226"/>
      <c r="E41" s="226"/>
      <c r="F41" s="226">
        <v>27212.59</v>
      </c>
      <c r="G41" s="227"/>
      <c r="H41" s="243"/>
      <c r="I41" s="228"/>
      <c r="J41" s="229"/>
      <c r="K41" s="229"/>
      <c r="L41" s="199">
        <f t="shared" si="2"/>
        <v>27212.59</v>
      </c>
      <c r="M41" s="230">
        <v>68574.3</v>
      </c>
      <c r="N41" s="228"/>
      <c r="O41" s="229">
        <v>470564.97</v>
      </c>
      <c r="P41" s="199">
        <f t="shared" si="3"/>
        <v>539139.27</v>
      </c>
      <c r="Q41" s="228">
        <v>46412.28</v>
      </c>
      <c r="R41" s="229"/>
      <c r="S41" s="229">
        <v>243513.88</v>
      </c>
      <c r="T41" s="228">
        <v>82522.8</v>
      </c>
      <c r="U41" s="199">
        <f t="shared" si="10"/>
        <v>372448.96</v>
      </c>
      <c r="V41" s="229">
        <v>258216.61</v>
      </c>
      <c r="W41" s="227">
        <v>210193.67</v>
      </c>
      <c r="X41" s="228">
        <v>210201.15</v>
      </c>
      <c r="Y41" s="228"/>
      <c r="Z41" s="199">
        <f t="shared" si="7"/>
        <v>678611.43</v>
      </c>
      <c r="AA41" s="227">
        <v>491760.72</v>
      </c>
      <c r="AB41" s="227">
        <v>491760.72</v>
      </c>
      <c r="AC41" s="199">
        <f t="shared" si="5"/>
        <v>983521.44</v>
      </c>
      <c r="AD41" s="228">
        <v>703489.98</v>
      </c>
      <c r="AE41" s="228"/>
      <c r="AF41" s="228">
        <v>1641476.62</v>
      </c>
      <c r="AG41" s="228">
        <v>0</v>
      </c>
      <c r="AH41" s="228"/>
      <c r="AI41" s="228"/>
      <c r="AJ41" s="228"/>
      <c r="AK41" s="199">
        <f t="shared" si="6"/>
        <v>1641476.62</v>
      </c>
      <c r="AL41" s="85">
        <f t="shared" si="8"/>
        <v>4945900.290000001</v>
      </c>
      <c r="AN41" s="200"/>
      <c r="AO41" s="69">
        <f t="shared" si="9"/>
        <v>1</v>
      </c>
    </row>
    <row r="42" spans="1:41" s="69" customFormat="1" ht="15">
      <c r="A42" s="77" t="s">
        <v>227</v>
      </c>
      <c r="B42" s="69">
        <v>37</v>
      </c>
      <c r="C42" s="78" t="s">
        <v>228</v>
      </c>
      <c r="D42" s="226"/>
      <c r="E42" s="226"/>
      <c r="F42" s="226"/>
      <c r="G42" s="227"/>
      <c r="H42" s="243">
        <v>194485.57</v>
      </c>
      <c r="I42" s="228"/>
      <c r="J42" s="229"/>
      <c r="K42" s="229"/>
      <c r="L42" s="199">
        <f t="shared" si="2"/>
        <v>194485.57</v>
      </c>
      <c r="M42" s="230"/>
      <c r="N42" s="228"/>
      <c r="O42" s="229"/>
      <c r="P42" s="199">
        <f t="shared" si="3"/>
        <v>0</v>
      </c>
      <c r="Q42" s="228">
        <v>137132.66</v>
      </c>
      <c r="R42" s="229">
        <v>33667.02</v>
      </c>
      <c r="S42" s="229">
        <v>60160.3</v>
      </c>
      <c r="T42" s="228"/>
      <c r="U42" s="199">
        <f t="shared" si="10"/>
        <v>230959.97999999998</v>
      </c>
      <c r="V42" s="229">
        <v>63792.61</v>
      </c>
      <c r="W42" s="227"/>
      <c r="X42" s="228"/>
      <c r="Y42" s="228"/>
      <c r="Z42" s="199">
        <f t="shared" si="7"/>
        <v>63792.61</v>
      </c>
      <c r="AA42" s="227">
        <v>0</v>
      </c>
      <c r="AB42" s="227">
        <v>0</v>
      </c>
      <c r="AC42" s="199">
        <f t="shared" si="5"/>
        <v>0</v>
      </c>
      <c r="AD42" s="228">
        <v>85038.33</v>
      </c>
      <c r="AE42" s="228"/>
      <c r="AF42" s="228">
        <v>0</v>
      </c>
      <c r="AG42" s="228">
        <v>0</v>
      </c>
      <c r="AH42" s="228"/>
      <c r="AI42" s="228"/>
      <c r="AJ42" s="228"/>
      <c r="AK42" s="199">
        <f t="shared" si="6"/>
        <v>0</v>
      </c>
      <c r="AL42" s="85">
        <f t="shared" si="8"/>
        <v>574276.49</v>
      </c>
      <c r="AN42" s="200"/>
      <c r="AO42" s="69">
        <f t="shared" si="9"/>
        <v>1</v>
      </c>
    </row>
    <row r="43" spans="1:41" s="69" customFormat="1" ht="15">
      <c r="A43" s="77" t="s">
        <v>229</v>
      </c>
      <c r="B43" s="69">
        <v>38</v>
      </c>
      <c r="C43" s="78" t="s">
        <v>230</v>
      </c>
      <c r="D43" s="226"/>
      <c r="E43" s="226"/>
      <c r="F43" s="226"/>
      <c r="G43" s="227"/>
      <c r="H43" s="243"/>
      <c r="I43" s="228"/>
      <c r="J43" s="229"/>
      <c r="K43" s="229"/>
      <c r="L43" s="199">
        <f t="shared" si="2"/>
        <v>0</v>
      </c>
      <c r="M43" s="230">
        <v>138512.44</v>
      </c>
      <c r="N43" s="228"/>
      <c r="O43" s="229">
        <v>24650.270000000004</v>
      </c>
      <c r="P43" s="199">
        <f t="shared" si="3"/>
        <v>163162.71000000002</v>
      </c>
      <c r="Q43" s="228">
        <v>14026.53</v>
      </c>
      <c r="R43" s="229"/>
      <c r="S43" s="229">
        <v>0</v>
      </c>
      <c r="T43" s="228"/>
      <c r="U43" s="199">
        <f t="shared" si="10"/>
        <v>14026.53</v>
      </c>
      <c r="V43" s="229">
        <v>0</v>
      </c>
      <c r="W43" s="227"/>
      <c r="X43" s="228"/>
      <c r="Y43" s="228"/>
      <c r="Z43" s="199">
        <f t="shared" si="7"/>
        <v>0</v>
      </c>
      <c r="AA43" s="227">
        <v>0</v>
      </c>
      <c r="AB43" s="227">
        <v>0</v>
      </c>
      <c r="AC43" s="199">
        <f t="shared" si="5"/>
        <v>0</v>
      </c>
      <c r="AD43" s="228">
        <v>102065.71</v>
      </c>
      <c r="AE43" s="228"/>
      <c r="AF43" s="228">
        <v>238153.32</v>
      </c>
      <c r="AG43" s="228">
        <v>0</v>
      </c>
      <c r="AH43" s="228"/>
      <c r="AI43" s="228"/>
      <c r="AJ43" s="228"/>
      <c r="AK43" s="199">
        <f t="shared" si="6"/>
        <v>238153.32</v>
      </c>
      <c r="AL43" s="85">
        <f t="shared" si="8"/>
        <v>517408.2700000001</v>
      </c>
      <c r="AN43" s="200"/>
      <c r="AO43" s="69">
        <f t="shared" si="9"/>
        <v>1</v>
      </c>
    </row>
    <row r="44" spans="1:41" s="69" customFormat="1" ht="15">
      <c r="A44" s="77" t="s">
        <v>231</v>
      </c>
      <c r="B44" s="69">
        <v>39</v>
      </c>
      <c r="C44" s="78" t="s">
        <v>232</v>
      </c>
      <c r="D44" s="226"/>
      <c r="E44" s="226"/>
      <c r="F44" s="226"/>
      <c r="G44" s="227"/>
      <c r="H44" s="243"/>
      <c r="I44" s="228"/>
      <c r="J44" s="229"/>
      <c r="K44" s="229"/>
      <c r="L44" s="199">
        <f t="shared" si="2"/>
        <v>0</v>
      </c>
      <c r="M44" s="230"/>
      <c r="N44" s="228"/>
      <c r="O44" s="229"/>
      <c r="P44" s="199">
        <f t="shared" si="3"/>
        <v>0</v>
      </c>
      <c r="Q44" s="228"/>
      <c r="R44" s="229"/>
      <c r="S44" s="229">
        <v>0</v>
      </c>
      <c r="T44" s="228"/>
      <c r="U44" s="199">
        <f t="shared" si="10"/>
        <v>0</v>
      </c>
      <c r="V44" s="229">
        <v>0</v>
      </c>
      <c r="W44" s="227"/>
      <c r="X44" s="228"/>
      <c r="Y44" s="228"/>
      <c r="Z44" s="199">
        <f t="shared" si="7"/>
        <v>0</v>
      </c>
      <c r="AA44" s="227">
        <v>0</v>
      </c>
      <c r="AB44" s="227">
        <v>0</v>
      </c>
      <c r="AC44" s="199">
        <f t="shared" si="5"/>
        <v>0</v>
      </c>
      <c r="AD44" s="228"/>
      <c r="AE44" s="228"/>
      <c r="AF44" s="228">
        <v>0</v>
      </c>
      <c r="AG44" s="228">
        <v>0</v>
      </c>
      <c r="AH44" s="228"/>
      <c r="AI44" s="228"/>
      <c r="AJ44" s="228"/>
      <c r="AK44" s="199">
        <f t="shared" si="6"/>
        <v>0</v>
      </c>
      <c r="AL44" s="85">
        <f t="shared" si="8"/>
        <v>0</v>
      </c>
      <c r="AN44" s="200"/>
      <c r="AO44" s="69">
        <f t="shared" si="9"/>
        <v>0</v>
      </c>
    </row>
    <row r="45" spans="1:41" s="69" customFormat="1" ht="15">
      <c r="A45" s="77" t="s">
        <v>233</v>
      </c>
      <c r="B45" s="69">
        <v>40</v>
      </c>
      <c r="C45" s="201" t="s">
        <v>234</v>
      </c>
      <c r="D45" s="231">
        <v>238631</v>
      </c>
      <c r="E45" s="231">
        <v>150000</v>
      </c>
      <c r="F45" s="231">
        <v>138471.76</v>
      </c>
      <c r="G45" s="232"/>
      <c r="H45" s="244"/>
      <c r="I45" s="228"/>
      <c r="J45" s="229"/>
      <c r="K45" s="229"/>
      <c r="L45" s="199">
        <f t="shared" si="2"/>
        <v>527102.76</v>
      </c>
      <c r="M45" s="233"/>
      <c r="N45" s="228"/>
      <c r="O45" s="229">
        <v>70093.48000000001</v>
      </c>
      <c r="P45" s="199">
        <f t="shared" si="3"/>
        <v>70093.48000000001</v>
      </c>
      <c r="Q45" s="228">
        <v>43441.18</v>
      </c>
      <c r="R45" s="229"/>
      <c r="S45" s="229">
        <v>683990.93</v>
      </c>
      <c r="T45" s="228">
        <v>341040.45</v>
      </c>
      <c r="U45" s="199">
        <f t="shared" si="10"/>
        <v>1068472.56</v>
      </c>
      <c r="V45" s="229">
        <v>0</v>
      </c>
      <c r="W45" s="227"/>
      <c r="X45" s="228"/>
      <c r="Y45" s="228">
        <v>12371.25</v>
      </c>
      <c r="Z45" s="199">
        <f t="shared" si="7"/>
        <v>12371.25</v>
      </c>
      <c r="AA45" s="227">
        <v>0</v>
      </c>
      <c r="AB45" s="227">
        <v>0</v>
      </c>
      <c r="AC45" s="199">
        <f t="shared" si="5"/>
        <v>0</v>
      </c>
      <c r="AD45" s="228">
        <v>336819.33</v>
      </c>
      <c r="AE45" s="228"/>
      <c r="AF45" s="228">
        <v>814778.01</v>
      </c>
      <c r="AG45" s="228">
        <v>0</v>
      </c>
      <c r="AH45" s="228"/>
      <c r="AI45" s="228"/>
      <c r="AJ45" s="228"/>
      <c r="AK45" s="199">
        <f t="shared" si="6"/>
        <v>814778.01</v>
      </c>
      <c r="AL45" s="85">
        <f t="shared" si="8"/>
        <v>2829637.3900000006</v>
      </c>
      <c r="AN45" s="200"/>
      <c r="AO45" s="69">
        <f t="shared" si="9"/>
        <v>1</v>
      </c>
    </row>
    <row r="46" spans="1:41" s="69" customFormat="1" ht="15">
      <c r="A46" s="77" t="s">
        <v>235</v>
      </c>
      <c r="B46" s="69">
        <v>41</v>
      </c>
      <c r="C46" s="78" t="s">
        <v>236</v>
      </c>
      <c r="D46" s="226"/>
      <c r="E46" s="226"/>
      <c r="F46" s="226"/>
      <c r="G46" s="227"/>
      <c r="H46" s="243">
        <v>31992.89</v>
      </c>
      <c r="I46" s="228"/>
      <c r="J46" s="229"/>
      <c r="K46" s="229"/>
      <c r="L46" s="199">
        <f t="shared" si="2"/>
        <v>31992.89</v>
      </c>
      <c r="M46" s="230"/>
      <c r="N46" s="228"/>
      <c r="O46" s="229"/>
      <c r="P46" s="199">
        <f t="shared" si="3"/>
        <v>0</v>
      </c>
      <c r="Q46" s="228"/>
      <c r="R46" s="229"/>
      <c r="S46" s="229">
        <v>0</v>
      </c>
      <c r="T46" s="228"/>
      <c r="U46" s="199">
        <f t="shared" si="10"/>
        <v>0</v>
      </c>
      <c r="V46" s="229">
        <v>0</v>
      </c>
      <c r="W46" s="227"/>
      <c r="X46" s="228"/>
      <c r="Y46" s="228"/>
      <c r="Z46" s="199">
        <f t="shared" si="7"/>
        <v>0</v>
      </c>
      <c r="AA46" s="227">
        <v>0</v>
      </c>
      <c r="AB46" s="227">
        <v>0</v>
      </c>
      <c r="AC46" s="199">
        <f t="shared" si="5"/>
        <v>0</v>
      </c>
      <c r="AD46" s="228"/>
      <c r="AE46" s="228"/>
      <c r="AF46" s="228">
        <v>247156.76</v>
      </c>
      <c r="AG46" s="228">
        <v>111130.72</v>
      </c>
      <c r="AH46" s="228"/>
      <c r="AI46" s="228"/>
      <c r="AJ46" s="228"/>
      <c r="AK46" s="199">
        <f t="shared" si="6"/>
        <v>358287.48</v>
      </c>
      <c r="AL46" s="85">
        <f t="shared" si="8"/>
        <v>390280.37</v>
      </c>
      <c r="AN46" s="200"/>
      <c r="AO46" s="69">
        <f t="shared" si="9"/>
        <v>1</v>
      </c>
    </row>
    <row r="47" spans="1:41" s="69" customFormat="1" ht="15">
      <c r="A47" s="77" t="s">
        <v>237</v>
      </c>
      <c r="B47" s="69">
        <v>42</v>
      </c>
      <c r="C47" s="78" t="s">
        <v>238</v>
      </c>
      <c r="D47" s="226">
        <v>150000</v>
      </c>
      <c r="E47" s="226"/>
      <c r="F47" s="226">
        <v>143532.07</v>
      </c>
      <c r="G47" s="227"/>
      <c r="H47" s="243"/>
      <c r="I47" s="228"/>
      <c r="J47" s="229"/>
      <c r="K47" s="229"/>
      <c r="L47" s="199">
        <f t="shared" si="2"/>
        <v>293532.07</v>
      </c>
      <c r="M47" s="230"/>
      <c r="N47" s="228"/>
      <c r="O47" s="229"/>
      <c r="P47" s="199">
        <f t="shared" si="3"/>
        <v>0</v>
      </c>
      <c r="Q47" s="228">
        <v>418624.58</v>
      </c>
      <c r="R47" s="229">
        <v>155977.88</v>
      </c>
      <c r="S47" s="229">
        <v>67594.39</v>
      </c>
      <c r="T47" s="228">
        <v>50986.07</v>
      </c>
      <c r="U47" s="199">
        <f t="shared" si="10"/>
        <v>693182.9199999999</v>
      </c>
      <c r="V47" s="229">
        <v>71675.55</v>
      </c>
      <c r="W47" s="227">
        <v>129866.53</v>
      </c>
      <c r="X47" s="228">
        <v>129871.15</v>
      </c>
      <c r="Y47" s="228"/>
      <c r="Z47" s="199">
        <f t="shared" si="7"/>
        <v>331413.23</v>
      </c>
      <c r="AA47" s="227">
        <v>303830.56</v>
      </c>
      <c r="AB47" s="227">
        <v>303830.56</v>
      </c>
      <c r="AC47" s="199">
        <f t="shared" si="5"/>
        <v>607661.12</v>
      </c>
      <c r="AD47" s="228">
        <v>1140066.96</v>
      </c>
      <c r="AE47" s="228"/>
      <c r="AF47" s="228">
        <v>2866119.8</v>
      </c>
      <c r="AG47" s="228">
        <v>107661.04</v>
      </c>
      <c r="AH47" s="228"/>
      <c r="AI47" s="228"/>
      <c r="AJ47" s="228"/>
      <c r="AK47" s="199">
        <f t="shared" si="6"/>
        <v>2973780.84</v>
      </c>
      <c r="AL47" s="85">
        <f t="shared" si="8"/>
        <v>6039637.140000001</v>
      </c>
      <c r="AN47" s="200"/>
      <c r="AO47" s="69">
        <f t="shared" si="9"/>
        <v>1</v>
      </c>
    </row>
    <row r="48" spans="1:41" s="69" customFormat="1" ht="15">
      <c r="A48" s="77" t="s">
        <v>239</v>
      </c>
      <c r="B48" s="69">
        <v>43</v>
      </c>
      <c r="C48" s="78" t="s">
        <v>240</v>
      </c>
      <c r="D48" s="226"/>
      <c r="E48" s="226"/>
      <c r="F48" s="226"/>
      <c r="G48" s="227"/>
      <c r="H48" s="243"/>
      <c r="I48" s="228"/>
      <c r="J48" s="229"/>
      <c r="K48" s="229"/>
      <c r="L48" s="199">
        <f t="shared" si="2"/>
        <v>0</v>
      </c>
      <c r="M48" s="230"/>
      <c r="N48" s="228"/>
      <c r="O48" s="229"/>
      <c r="P48" s="199">
        <f t="shared" si="3"/>
        <v>0</v>
      </c>
      <c r="Q48" s="228">
        <v>268076.38</v>
      </c>
      <c r="R48" s="229">
        <v>99884.21</v>
      </c>
      <c r="S48" s="229">
        <v>10935.62</v>
      </c>
      <c r="T48" s="228">
        <v>8248.68</v>
      </c>
      <c r="U48" s="199">
        <f t="shared" si="10"/>
        <v>387144.89</v>
      </c>
      <c r="V48" s="229">
        <v>11595.88</v>
      </c>
      <c r="W48" s="227">
        <v>21010.19</v>
      </c>
      <c r="X48" s="228">
        <v>21010.94</v>
      </c>
      <c r="Y48" s="228"/>
      <c r="Z48" s="199">
        <f t="shared" si="7"/>
        <v>53617.009999999995</v>
      </c>
      <c r="AA48" s="227">
        <v>49154.6</v>
      </c>
      <c r="AB48" s="227">
        <v>49154.6</v>
      </c>
      <c r="AC48" s="199">
        <f t="shared" si="5"/>
        <v>98309.2</v>
      </c>
      <c r="AD48" s="228">
        <v>60036.84</v>
      </c>
      <c r="AE48" s="228"/>
      <c r="AF48" s="228">
        <v>140085.95</v>
      </c>
      <c r="AG48" s="228">
        <v>0</v>
      </c>
      <c r="AH48" s="228"/>
      <c r="AI48" s="228"/>
      <c r="AJ48" s="228"/>
      <c r="AK48" s="199">
        <f t="shared" si="6"/>
        <v>140085.95</v>
      </c>
      <c r="AL48" s="85">
        <f t="shared" si="8"/>
        <v>739193.89</v>
      </c>
      <c r="AN48" s="200"/>
      <c r="AO48" s="69">
        <f t="shared" si="9"/>
        <v>1</v>
      </c>
    </row>
    <row r="49" spans="1:41" s="69" customFormat="1" ht="15">
      <c r="A49" s="77" t="s">
        <v>241</v>
      </c>
      <c r="B49" s="69">
        <v>44</v>
      </c>
      <c r="C49" s="78" t="s">
        <v>242</v>
      </c>
      <c r="D49" s="226">
        <v>150000</v>
      </c>
      <c r="E49" s="226"/>
      <c r="F49" s="226"/>
      <c r="G49" s="227"/>
      <c r="H49" s="243"/>
      <c r="I49" s="228"/>
      <c r="J49" s="229"/>
      <c r="K49" s="229"/>
      <c r="L49" s="199">
        <f t="shared" si="2"/>
        <v>150000</v>
      </c>
      <c r="M49" s="230">
        <v>98680.57</v>
      </c>
      <c r="N49" s="228"/>
      <c r="O49" s="229"/>
      <c r="P49" s="199">
        <f t="shared" si="3"/>
        <v>98680.57</v>
      </c>
      <c r="Q49" s="228"/>
      <c r="R49" s="229"/>
      <c r="S49" s="229">
        <v>55158.69</v>
      </c>
      <c r="T49" s="228"/>
      <c r="U49" s="199">
        <f t="shared" si="10"/>
        <v>55158.69</v>
      </c>
      <c r="V49" s="229">
        <v>58489.02</v>
      </c>
      <c r="W49" s="227"/>
      <c r="X49" s="228"/>
      <c r="Y49" s="228">
        <v>24540.04</v>
      </c>
      <c r="Z49" s="199">
        <f t="shared" si="7"/>
        <v>83029.06</v>
      </c>
      <c r="AA49" s="227">
        <v>0</v>
      </c>
      <c r="AB49" s="227">
        <v>0</v>
      </c>
      <c r="AC49" s="199">
        <f t="shared" si="5"/>
        <v>0</v>
      </c>
      <c r="AD49" s="228">
        <v>887121.9</v>
      </c>
      <c r="AE49" s="228"/>
      <c r="AF49" s="228">
        <v>2127211.2</v>
      </c>
      <c r="AG49" s="228">
        <v>0</v>
      </c>
      <c r="AH49" s="228"/>
      <c r="AI49" s="228"/>
      <c r="AJ49" s="228"/>
      <c r="AK49" s="199">
        <f t="shared" si="6"/>
        <v>2127211.2</v>
      </c>
      <c r="AL49" s="85">
        <f t="shared" si="8"/>
        <v>3401201.42</v>
      </c>
      <c r="AN49" s="200"/>
      <c r="AO49" s="69">
        <f t="shared" si="9"/>
        <v>1</v>
      </c>
    </row>
    <row r="50" spans="1:41" s="69" customFormat="1" ht="15">
      <c r="A50" s="77" t="s">
        <v>243</v>
      </c>
      <c r="B50" s="69">
        <v>45</v>
      </c>
      <c r="C50" s="78" t="s">
        <v>244</v>
      </c>
      <c r="D50" s="226"/>
      <c r="E50" s="226"/>
      <c r="F50" s="226"/>
      <c r="G50" s="227"/>
      <c r="H50" s="243"/>
      <c r="I50" s="228"/>
      <c r="J50" s="229"/>
      <c r="K50" s="229"/>
      <c r="L50" s="199">
        <f t="shared" si="2"/>
        <v>0</v>
      </c>
      <c r="M50" s="230">
        <v>133526.5</v>
      </c>
      <c r="N50" s="228"/>
      <c r="O50" s="229"/>
      <c r="P50" s="199">
        <f t="shared" si="3"/>
        <v>133526.5</v>
      </c>
      <c r="Q50" s="228">
        <v>92177.75</v>
      </c>
      <c r="R50" s="229">
        <v>34345.07</v>
      </c>
      <c r="S50" s="229">
        <v>28847.92</v>
      </c>
      <c r="T50" s="228">
        <v>9776.08</v>
      </c>
      <c r="U50" s="199">
        <f t="shared" si="10"/>
        <v>165146.81999999998</v>
      </c>
      <c r="V50" s="229">
        <v>30589.68</v>
      </c>
      <c r="W50" s="227">
        <v>24900.63</v>
      </c>
      <c r="X50" s="228">
        <v>24901.52</v>
      </c>
      <c r="Y50" s="228"/>
      <c r="Z50" s="199">
        <f t="shared" si="7"/>
        <v>80391.83</v>
      </c>
      <c r="AA50" s="227">
        <v>58256.53</v>
      </c>
      <c r="AB50" s="227">
        <v>58256.53</v>
      </c>
      <c r="AC50" s="199">
        <f t="shared" si="5"/>
        <v>116513.06</v>
      </c>
      <c r="AD50" s="228">
        <v>41978.61</v>
      </c>
      <c r="AE50" s="228"/>
      <c r="AF50" s="228">
        <v>36044.65</v>
      </c>
      <c r="AG50" s="228">
        <v>15447.71</v>
      </c>
      <c r="AH50" s="228"/>
      <c r="AI50" s="228"/>
      <c r="AJ50" s="228"/>
      <c r="AK50" s="199">
        <f t="shared" si="6"/>
        <v>51492.36</v>
      </c>
      <c r="AL50" s="85">
        <f t="shared" si="8"/>
        <v>589049.1799999999</v>
      </c>
      <c r="AN50" s="200"/>
      <c r="AO50" s="69">
        <f t="shared" si="9"/>
        <v>1</v>
      </c>
    </row>
    <row r="51" spans="1:41" s="69" customFormat="1" ht="15">
      <c r="A51" s="77" t="s">
        <v>245</v>
      </c>
      <c r="B51" s="69">
        <v>46</v>
      </c>
      <c r="C51" s="78" t="s">
        <v>246</v>
      </c>
      <c r="D51" s="226">
        <v>150000</v>
      </c>
      <c r="E51" s="226">
        <v>439073.99</v>
      </c>
      <c r="F51" s="226">
        <v>394553.01</v>
      </c>
      <c r="G51" s="227">
        <v>441945.06</v>
      </c>
      <c r="H51" s="243"/>
      <c r="I51" s="228"/>
      <c r="J51" s="229"/>
      <c r="K51" s="229"/>
      <c r="L51" s="199">
        <f t="shared" si="2"/>
        <v>1425572.06</v>
      </c>
      <c r="M51" s="230">
        <v>927697.3</v>
      </c>
      <c r="N51" s="228"/>
      <c r="O51" s="229"/>
      <c r="P51" s="199">
        <f t="shared" si="3"/>
        <v>927697.3</v>
      </c>
      <c r="Q51" s="228">
        <v>810547.73</v>
      </c>
      <c r="R51" s="229">
        <v>302006.9</v>
      </c>
      <c r="S51" s="229">
        <v>184750.72</v>
      </c>
      <c r="T51" s="228">
        <v>62608.94</v>
      </c>
      <c r="U51" s="199">
        <f t="shared" si="10"/>
        <v>1359914.2899999998</v>
      </c>
      <c r="V51" s="229">
        <v>195905.48</v>
      </c>
      <c r="W51" s="227">
        <v>159471.12</v>
      </c>
      <c r="X51" s="228">
        <v>159476.79</v>
      </c>
      <c r="Y51" s="228"/>
      <c r="Z51" s="199">
        <f t="shared" si="7"/>
        <v>514853.39</v>
      </c>
      <c r="AA51" s="227">
        <v>373092.27</v>
      </c>
      <c r="AB51" s="227">
        <v>373092.27</v>
      </c>
      <c r="AC51" s="199">
        <f t="shared" si="5"/>
        <v>746184.54</v>
      </c>
      <c r="AD51" s="228"/>
      <c r="AE51" s="228"/>
      <c r="AF51" s="228">
        <v>0</v>
      </c>
      <c r="AG51" s="228">
        <v>0</v>
      </c>
      <c r="AH51" s="228"/>
      <c r="AI51" s="228"/>
      <c r="AJ51" s="228"/>
      <c r="AK51" s="199">
        <f t="shared" si="6"/>
        <v>0</v>
      </c>
      <c r="AL51" s="85">
        <f t="shared" si="8"/>
        <v>4974221.58</v>
      </c>
      <c r="AN51" s="200"/>
      <c r="AO51" s="69">
        <f t="shared" si="9"/>
        <v>1</v>
      </c>
    </row>
    <row r="52" spans="1:41" s="69" customFormat="1" ht="15">
      <c r="A52" s="77" t="s">
        <v>247</v>
      </c>
      <c r="B52" s="69">
        <v>47</v>
      </c>
      <c r="C52" s="78" t="s">
        <v>248</v>
      </c>
      <c r="D52" s="226"/>
      <c r="E52" s="226"/>
      <c r="F52" s="226"/>
      <c r="G52" s="227"/>
      <c r="H52" s="243"/>
      <c r="I52" s="228"/>
      <c r="J52" s="229"/>
      <c r="K52" s="229"/>
      <c r="L52" s="199">
        <f t="shared" si="2"/>
        <v>0</v>
      </c>
      <c r="M52" s="230">
        <v>93414.11</v>
      </c>
      <c r="N52" s="228"/>
      <c r="O52" s="229"/>
      <c r="P52" s="199">
        <f t="shared" si="3"/>
        <v>93414.11</v>
      </c>
      <c r="Q52" s="228">
        <v>190950.05</v>
      </c>
      <c r="R52" s="229">
        <v>71147.24</v>
      </c>
      <c r="S52" s="229">
        <v>21413.08</v>
      </c>
      <c r="T52" s="228">
        <v>7256.54</v>
      </c>
      <c r="U52" s="199">
        <f t="shared" si="10"/>
        <v>290766.91</v>
      </c>
      <c r="V52" s="229">
        <v>22705.95</v>
      </c>
      <c r="W52" s="227">
        <v>18483.11</v>
      </c>
      <c r="X52" s="228">
        <v>18483.77</v>
      </c>
      <c r="Y52" s="228"/>
      <c r="Z52" s="199">
        <f t="shared" si="7"/>
        <v>59672.83</v>
      </c>
      <c r="AA52" s="227">
        <v>43242.35</v>
      </c>
      <c r="AB52" s="227">
        <v>43242.35</v>
      </c>
      <c r="AC52" s="199">
        <f t="shared" si="5"/>
        <v>86484.7</v>
      </c>
      <c r="AD52" s="228">
        <v>470212.65</v>
      </c>
      <c r="AE52" s="228"/>
      <c r="AF52" s="228">
        <v>465479.85</v>
      </c>
      <c r="AG52" s="228">
        <v>0</v>
      </c>
      <c r="AH52" s="228"/>
      <c r="AI52" s="228"/>
      <c r="AJ52" s="228"/>
      <c r="AK52" s="199">
        <f t="shared" si="6"/>
        <v>465479.85</v>
      </c>
      <c r="AL52" s="85">
        <f t="shared" si="8"/>
        <v>1466031.05</v>
      </c>
      <c r="AN52" s="200"/>
      <c r="AO52" s="69">
        <f t="shared" si="9"/>
        <v>1</v>
      </c>
    </row>
    <row r="53" spans="1:41" s="69" customFormat="1" ht="15">
      <c r="A53" s="77" t="s">
        <v>249</v>
      </c>
      <c r="B53" s="69">
        <v>48</v>
      </c>
      <c r="C53" s="78" t="s">
        <v>250</v>
      </c>
      <c r="D53" s="226">
        <v>9978.49</v>
      </c>
      <c r="E53" s="226"/>
      <c r="F53" s="226">
        <v>57488.46</v>
      </c>
      <c r="G53" s="227"/>
      <c r="H53" s="243">
        <v>19541.17</v>
      </c>
      <c r="I53" s="228"/>
      <c r="J53" s="229"/>
      <c r="K53" s="229"/>
      <c r="L53" s="199">
        <f t="shared" si="2"/>
        <v>87008.12</v>
      </c>
      <c r="M53" s="230">
        <v>129013.06</v>
      </c>
      <c r="N53" s="228">
        <v>128368.32</v>
      </c>
      <c r="O53" s="229"/>
      <c r="P53" s="199">
        <f t="shared" si="3"/>
        <v>257381.38</v>
      </c>
      <c r="Q53" s="228">
        <v>12116.33</v>
      </c>
      <c r="R53" s="229">
        <v>52335.07</v>
      </c>
      <c r="S53" s="229">
        <v>37980.11</v>
      </c>
      <c r="T53" s="228">
        <v>12870.82</v>
      </c>
      <c r="U53" s="199">
        <f t="shared" si="10"/>
        <v>115302.33000000002</v>
      </c>
      <c r="V53" s="229">
        <v>40273.24</v>
      </c>
      <c r="W53" s="227">
        <v>32783.25</v>
      </c>
      <c r="X53" s="228">
        <v>32784.42</v>
      </c>
      <c r="Y53" s="228"/>
      <c r="Z53" s="199">
        <f t="shared" si="7"/>
        <v>105840.90999999999</v>
      </c>
      <c r="AA53" s="227">
        <v>76698.39</v>
      </c>
      <c r="AB53" s="227">
        <v>76698.39</v>
      </c>
      <c r="AC53" s="199">
        <f t="shared" si="5"/>
        <v>153396.78</v>
      </c>
      <c r="AD53" s="228">
        <v>86866.53</v>
      </c>
      <c r="AE53" s="228"/>
      <c r="AF53" s="228">
        <v>202688.58</v>
      </c>
      <c r="AG53" s="228">
        <v>0</v>
      </c>
      <c r="AH53" s="228"/>
      <c r="AI53" s="228"/>
      <c r="AJ53" s="228"/>
      <c r="AK53" s="199">
        <f t="shared" si="6"/>
        <v>202688.58</v>
      </c>
      <c r="AL53" s="85">
        <f t="shared" si="8"/>
        <v>1008484.6300000001</v>
      </c>
      <c r="AN53" s="200"/>
      <c r="AO53" s="69">
        <f t="shared" si="9"/>
        <v>1</v>
      </c>
    </row>
    <row r="54" spans="1:41" s="69" customFormat="1" ht="15">
      <c r="A54" s="77" t="s">
        <v>251</v>
      </c>
      <c r="B54" s="69">
        <v>49</v>
      </c>
      <c r="C54" s="78" t="s">
        <v>252</v>
      </c>
      <c r="D54" s="226"/>
      <c r="E54" s="226"/>
      <c r="F54" s="226"/>
      <c r="G54" s="227"/>
      <c r="H54" s="243"/>
      <c r="I54" s="228"/>
      <c r="J54" s="229"/>
      <c r="K54" s="229"/>
      <c r="L54" s="199">
        <f t="shared" si="2"/>
        <v>0</v>
      </c>
      <c r="M54" s="230"/>
      <c r="N54" s="228"/>
      <c r="O54" s="229"/>
      <c r="P54" s="199">
        <f t="shared" si="3"/>
        <v>0</v>
      </c>
      <c r="Q54" s="228"/>
      <c r="R54" s="229"/>
      <c r="S54" s="229">
        <v>0</v>
      </c>
      <c r="T54" s="228"/>
      <c r="U54" s="199">
        <f t="shared" si="10"/>
        <v>0</v>
      </c>
      <c r="V54" s="229">
        <v>0</v>
      </c>
      <c r="W54" s="227"/>
      <c r="X54" s="228"/>
      <c r="Y54" s="228"/>
      <c r="Z54" s="199">
        <f t="shared" si="7"/>
        <v>0</v>
      </c>
      <c r="AA54" s="227">
        <v>0</v>
      </c>
      <c r="AB54" s="227">
        <v>0</v>
      </c>
      <c r="AC54" s="199">
        <f t="shared" si="5"/>
        <v>0</v>
      </c>
      <c r="AD54" s="228"/>
      <c r="AE54" s="228"/>
      <c r="AF54" s="228">
        <v>0</v>
      </c>
      <c r="AG54" s="228">
        <v>0</v>
      </c>
      <c r="AH54" s="228"/>
      <c r="AI54" s="228"/>
      <c r="AJ54" s="228"/>
      <c r="AK54" s="199">
        <f t="shared" si="6"/>
        <v>0</v>
      </c>
      <c r="AL54" s="85">
        <f t="shared" si="8"/>
        <v>0</v>
      </c>
      <c r="AN54" s="200"/>
      <c r="AO54" s="69">
        <f t="shared" si="9"/>
        <v>0</v>
      </c>
    </row>
    <row r="55" spans="1:41" s="69" customFormat="1" ht="15">
      <c r="A55" s="77"/>
      <c r="B55" s="69">
        <v>50</v>
      </c>
      <c r="C55" s="203" t="s">
        <v>436</v>
      </c>
      <c r="D55" s="226"/>
      <c r="E55" s="226"/>
      <c r="F55" s="226"/>
      <c r="G55" s="227"/>
      <c r="H55" s="243"/>
      <c r="I55" s="228"/>
      <c r="J55" s="229"/>
      <c r="K55" s="229"/>
      <c r="L55" s="199">
        <f t="shared" si="2"/>
        <v>0</v>
      </c>
      <c r="M55" s="230"/>
      <c r="N55" s="228"/>
      <c r="O55" s="229"/>
      <c r="P55" s="199">
        <f t="shared" si="3"/>
        <v>0</v>
      </c>
      <c r="Q55" s="228"/>
      <c r="R55" s="229"/>
      <c r="S55" s="229"/>
      <c r="T55" s="228"/>
      <c r="U55" s="199">
        <f t="shared" si="10"/>
        <v>0</v>
      </c>
      <c r="V55" s="229"/>
      <c r="W55" s="227"/>
      <c r="X55" s="228"/>
      <c r="Y55" s="228"/>
      <c r="Z55" s="199">
        <f t="shared" si="7"/>
        <v>0</v>
      </c>
      <c r="AA55" s="227"/>
      <c r="AB55" s="227"/>
      <c r="AC55" s="199">
        <f t="shared" si="5"/>
        <v>0</v>
      </c>
      <c r="AD55" s="228">
        <v>15328.22</v>
      </c>
      <c r="AE55" s="228"/>
      <c r="AF55" s="228">
        <v>35765.85</v>
      </c>
      <c r="AG55" s="228">
        <v>0</v>
      </c>
      <c r="AH55" s="228"/>
      <c r="AI55" s="228"/>
      <c r="AJ55" s="228"/>
      <c r="AK55" s="199">
        <f>SUM(AF55:AJ55)</f>
        <v>35765.85</v>
      </c>
      <c r="AL55" s="85">
        <f t="shared" si="8"/>
        <v>51094.07</v>
      </c>
      <c r="AN55" s="200"/>
      <c r="AO55" s="69">
        <f t="shared" si="9"/>
        <v>1</v>
      </c>
    </row>
    <row r="56" spans="1:41" s="69" customFormat="1" ht="15">
      <c r="A56" s="77" t="s">
        <v>253</v>
      </c>
      <c r="B56" s="69">
        <v>51</v>
      </c>
      <c r="C56" s="78" t="s">
        <v>254</v>
      </c>
      <c r="D56" s="226"/>
      <c r="E56" s="226"/>
      <c r="F56" s="226"/>
      <c r="G56" s="227"/>
      <c r="H56" s="243"/>
      <c r="I56" s="228"/>
      <c r="J56" s="229">
        <v>19841</v>
      </c>
      <c r="K56" s="229"/>
      <c r="L56" s="199">
        <f t="shared" si="2"/>
        <v>19841</v>
      </c>
      <c r="M56" s="230"/>
      <c r="N56" s="228"/>
      <c r="O56" s="229"/>
      <c r="P56" s="199">
        <f t="shared" si="3"/>
        <v>0</v>
      </c>
      <c r="Q56" s="228"/>
      <c r="R56" s="229"/>
      <c r="S56" s="229">
        <v>0</v>
      </c>
      <c r="T56" s="228"/>
      <c r="U56" s="199">
        <f t="shared" si="10"/>
        <v>0</v>
      </c>
      <c r="V56" s="229">
        <v>0</v>
      </c>
      <c r="W56" s="227"/>
      <c r="X56" s="228"/>
      <c r="Y56" s="228"/>
      <c r="Z56" s="199">
        <f t="shared" si="7"/>
        <v>0</v>
      </c>
      <c r="AA56" s="227">
        <v>0</v>
      </c>
      <c r="AB56" s="227">
        <v>0</v>
      </c>
      <c r="AC56" s="199">
        <f t="shared" si="5"/>
        <v>0</v>
      </c>
      <c r="AD56" s="228"/>
      <c r="AE56" s="228"/>
      <c r="AF56" s="228">
        <v>0</v>
      </c>
      <c r="AG56" s="228">
        <v>0</v>
      </c>
      <c r="AH56" s="228"/>
      <c r="AI56" s="228"/>
      <c r="AJ56" s="228"/>
      <c r="AK56" s="199">
        <f t="shared" si="6"/>
        <v>0</v>
      </c>
      <c r="AL56" s="85">
        <f t="shared" si="8"/>
        <v>19841</v>
      </c>
      <c r="AN56" s="200"/>
      <c r="AO56" s="69">
        <f t="shared" si="9"/>
        <v>1</v>
      </c>
    </row>
    <row r="57" spans="1:41" s="69" customFormat="1" ht="15">
      <c r="A57" s="77" t="s">
        <v>255</v>
      </c>
      <c r="B57" s="69">
        <v>52</v>
      </c>
      <c r="C57" s="78" t="s">
        <v>256</v>
      </c>
      <c r="D57" s="226">
        <v>150000</v>
      </c>
      <c r="E57" s="226"/>
      <c r="F57" s="226"/>
      <c r="G57" s="227"/>
      <c r="H57" s="243"/>
      <c r="I57" s="228"/>
      <c r="J57" s="229"/>
      <c r="K57" s="229"/>
      <c r="L57" s="199">
        <f t="shared" si="2"/>
        <v>150000</v>
      </c>
      <c r="M57" s="230"/>
      <c r="N57" s="228"/>
      <c r="O57" s="229"/>
      <c r="P57" s="199">
        <f t="shared" si="3"/>
        <v>0</v>
      </c>
      <c r="Q57" s="228">
        <v>693646.36</v>
      </c>
      <c r="R57" s="229">
        <v>258449.91</v>
      </c>
      <c r="S57" s="229">
        <v>32781.64</v>
      </c>
      <c r="T57" s="228">
        <v>46669.53</v>
      </c>
      <c r="U57" s="199">
        <f t="shared" si="10"/>
        <v>1031547.4400000001</v>
      </c>
      <c r="V57" s="229">
        <v>34760.91</v>
      </c>
      <c r="W57" s="227">
        <v>118871.89</v>
      </c>
      <c r="X57" s="228">
        <v>118876.12</v>
      </c>
      <c r="Y57" s="228"/>
      <c r="Z57" s="199">
        <f t="shared" si="7"/>
        <v>272508.92</v>
      </c>
      <c r="AA57" s="227">
        <v>278107.92</v>
      </c>
      <c r="AB57" s="227">
        <v>278107.92</v>
      </c>
      <c r="AC57" s="199">
        <f t="shared" si="5"/>
        <v>556215.84</v>
      </c>
      <c r="AD57" s="228">
        <v>220040.06</v>
      </c>
      <c r="AE57" s="228"/>
      <c r="AF57" s="228">
        <v>513426.82</v>
      </c>
      <c r="AG57" s="228">
        <v>0</v>
      </c>
      <c r="AH57" s="228"/>
      <c r="AI57" s="228"/>
      <c r="AJ57" s="228"/>
      <c r="AK57" s="199">
        <f t="shared" si="6"/>
        <v>513426.82</v>
      </c>
      <c r="AL57" s="85">
        <f t="shared" si="8"/>
        <v>2743739.08</v>
      </c>
      <c r="AN57" s="200"/>
      <c r="AO57" s="69">
        <f t="shared" si="9"/>
        <v>1</v>
      </c>
    </row>
    <row r="58" spans="1:41" s="69" customFormat="1" ht="15">
      <c r="A58" s="77" t="s">
        <v>257</v>
      </c>
      <c r="B58" s="69">
        <v>53</v>
      </c>
      <c r="C58" s="78" t="s">
        <v>258</v>
      </c>
      <c r="D58" s="226">
        <v>150000</v>
      </c>
      <c r="E58" s="226">
        <v>516219.51</v>
      </c>
      <c r="F58" s="226"/>
      <c r="G58" s="227"/>
      <c r="H58" s="243">
        <v>978572.46</v>
      </c>
      <c r="I58" s="228"/>
      <c r="J58" s="229"/>
      <c r="K58" s="229"/>
      <c r="L58" s="199">
        <f t="shared" si="2"/>
        <v>1644791.97</v>
      </c>
      <c r="M58" s="230">
        <v>30334.9</v>
      </c>
      <c r="N58" s="228"/>
      <c r="O58" s="229"/>
      <c r="P58" s="199">
        <f t="shared" si="3"/>
        <v>30334.9</v>
      </c>
      <c r="Q58" s="228">
        <v>1406410.72</v>
      </c>
      <c r="R58" s="229">
        <v>524023.12</v>
      </c>
      <c r="S58" s="229">
        <v>326845.7</v>
      </c>
      <c r="T58" s="228">
        <v>246537.91</v>
      </c>
      <c r="U58" s="199">
        <f t="shared" si="10"/>
        <v>2503817.45</v>
      </c>
      <c r="V58" s="229">
        <v>346579.77</v>
      </c>
      <c r="W58" s="227">
        <v>627956.26</v>
      </c>
      <c r="X58" s="228">
        <v>627978.61</v>
      </c>
      <c r="Y58" s="228">
        <v>1325942.87</v>
      </c>
      <c r="Z58" s="199">
        <f t="shared" si="7"/>
        <v>2928457.5100000002</v>
      </c>
      <c r="AA58" s="227">
        <v>1469141.43</v>
      </c>
      <c r="AB58" s="227">
        <v>1469141.43</v>
      </c>
      <c r="AC58" s="199">
        <f t="shared" si="5"/>
        <v>2938282.86</v>
      </c>
      <c r="AD58" s="228">
        <v>4325613.99</v>
      </c>
      <c r="AE58" s="228"/>
      <c r="AF58" s="228">
        <v>13046030.01</v>
      </c>
      <c r="AG58" s="228">
        <v>0</v>
      </c>
      <c r="AH58" s="228"/>
      <c r="AI58" s="228"/>
      <c r="AJ58" s="228"/>
      <c r="AK58" s="199">
        <f t="shared" si="6"/>
        <v>13046030.01</v>
      </c>
      <c r="AL58" s="85">
        <f t="shared" si="8"/>
        <v>27417328.689999998</v>
      </c>
      <c r="AN58" s="200"/>
      <c r="AO58" s="69">
        <f t="shared" si="9"/>
        <v>1</v>
      </c>
    </row>
    <row r="59" spans="1:41" s="69" customFormat="1" ht="15">
      <c r="A59" s="77" t="s">
        <v>259</v>
      </c>
      <c r="B59" s="69">
        <v>54</v>
      </c>
      <c r="C59" s="78" t="s">
        <v>260</v>
      </c>
      <c r="D59" s="226"/>
      <c r="E59" s="226"/>
      <c r="F59" s="226"/>
      <c r="G59" s="227"/>
      <c r="H59" s="243"/>
      <c r="I59" s="228"/>
      <c r="J59" s="229"/>
      <c r="K59" s="229"/>
      <c r="L59" s="199">
        <f t="shared" si="2"/>
        <v>0</v>
      </c>
      <c r="M59" s="230"/>
      <c r="N59" s="228"/>
      <c r="O59" s="229"/>
      <c r="P59" s="199">
        <f t="shared" si="3"/>
        <v>0</v>
      </c>
      <c r="Q59" s="228"/>
      <c r="R59" s="229"/>
      <c r="S59" s="229">
        <v>16016.48</v>
      </c>
      <c r="T59" s="228">
        <v>548.71</v>
      </c>
      <c r="U59" s="199">
        <f t="shared" si="10"/>
        <v>16565.19</v>
      </c>
      <c r="V59" s="229">
        <v>16983.52</v>
      </c>
      <c r="W59" s="227"/>
      <c r="X59" s="228"/>
      <c r="Y59" s="228"/>
      <c r="Z59" s="199">
        <f t="shared" si="7"/>
        <v>16983.52</v>
      </c>
      <c r="AA59" s="227">
        <v>0</v>
      </c>
      <c r="AB59" s="227">
        <v>0</v>
      </c>
      <c r="AC59" s="199">
        <f t="shared" si="5"/>
        <v>0</v>
      </c>
      <c r="AD59" s="228">
        <v>128298.2</v>
      </c>
      <c r="AE59" s="228"/>
      <c r="AF59" s="228">
        <v>0</v>
      </c>
      <c r="AG59" s="228">
        <v>0</v>
      </c>
      <c r="AH59" s="228"/>
      <c r="AI59" s="228"/>
      <c r="AJ59" s="228"/>
      <c r="AK59" s="199">
        <f t="shared" si="6"/>
        <v>0</v>
      </c>
      <c r="AL59" s="85">
        <f t="shared" si="8"/>
        <v>161846.91</v>
      </c>
      <c r="AN59" s="200"/>
      <c r="AO59" s="69">
        <f t="shared" si="9"/>
        <v>1</v>
      </c>
    </row>
    <row r="60" spans="1:41" s="69" customFormat="1" ht="15">
      <c r="A60" s="77" t="s">
        <v>261</v>
      </c>
      <c r="B60" s="69">
        <v>55</v>
      </c>
      <c r="C60" s="78" t="s">
        <v>262</v>
      </c>
      <c r="D60" s="226"/>
      <c r="E60" s="226"/>
      <c r="F60" s="226"/>
      <c r="G60" s="227">
        <v>76935.99</v>
      </c>
      <c r="H60" s="243"/>
      <c r="I60" s="228"/>
      <c r="J60" s="229"/>
      <c r="K60" s="229"/>
      <c r="L60" s="199">
        <f t="shared" si="2"/>
        <v>76935.99</v>
      </c>
      <c r="M60" s="230"/>
      <c r="N60" s="228"/>
      <c r="O60" s="229"/>
      <c r="P60" s="199">
        <f t="shared" si="3"/>
        <v>0</v>
      </c>
      <c r="Q60" s="228"/>
      <c r="R60" s="229"/>
      <c r="S60" s="229">
        <v>0</v>
      </c>
      <c r="T60" s="228"/>
      <c r="U60" s="199">
        <f t="shared" si="10"/>
        <v>0</v>
      </c>
      <c r="V60" s="229">
        <v>0</v>
      </c>
      <c r="W60" s="227"/>
      <c r="X60" s="228"/>
      <c r="Y60" s="228"/>
      <c r="Z60" s="199">
        <f t="shared" si="7"/>
        <v>0</v>
      </c>
      <c r="AA60" s="227">
        <v>0</v>
      </c>
      <c r="AB60" s="227">
        <v>0</v>
      </c>
      <c r="AC60" s="199">
        <f t="shared" si="5"/>
        <v>0</v>
      </c>
      <c r="AD60" s="228">
        <v>8954.85</v>
      </c>
      <c r="AE60" s="228"/>
      <c r="AF60" s="228">
        <v>20894.65</v>
      </c>
      <c r="AG60" s="228">
        <v>308053.66</v>
      </c>
      <c r="AH60" s="228"/>
      <c r="AI60" s="228"/>
      <c r="AJ60" s="228"/>
      <c r="AK60" s="199">
        <f>SUM(AF60:AJ60)</f>
        <v>328948.31</v>
      </c>
      <c r="AL60" s="85">
        <f t="shared" si="8"/>
        <v>414839.14999999997</v>
      </c>
      <c r="AN60" s="200"/>
      <c r="AO60" s="69">
        <f t="shared" si="9"/>
        <v>1</v>
      </c>
    </row>
    <row r="61" spans="1:41" s="69" customFormat="1" ht="15">
      <c r="A61" s="77" t="s">
        <v>263</v>
      </c>
      <c r="B61" s="69">
        <v>56</v>
      </c>
      <c r="C61" s="78" t="s">
        <v>264</v>
      </c>
      <c r="D61" s="226"/>
      <c r="E61" s="226"/>
      <c r="F61" s="226"/>
      <c r="G61" s="227"/>
      <c r="H61" s="243"/>
      <c r="I61" s="228"/>
      <c r="J61" s="229"/>
      <c r="K61" s="229"/>
      <c r="L61" s="199">
        <f t="shared" si="2"/>
        <v>0</v>
      </c>
      <c r="M61" s="230">
        <v>2113.62</v>
      </c>
      <c r="N61" s="228"/>
      <c r="O61" s="229"/>
      <c r="P61" s="199">
        <f t="shared" si="3"/>
        <v>2113.62</v>
      </c>
      <c r="Q61" s="228"/>
      <c r="R61" s="229"/>
      <c r="S61" s="229">
        <v>10000</v>
      </c>
      <c r="T61" s="228"/>
      <c r="U61" s="199">
        <f t="shared" si="10"/>
        <v>10000</v>
      </c>
      <c r="V61" s="229">
        <v>0</v>
      </c>
      <c r="W61" s="227"/>
      <c r="X61" s="228"/>
      <c r="Y61" s="228"/>
      <c r="Z61" s="199">
        <f t="shared" si="7"/>
        <v>0</v>
      </c>
      <c r="AA61" s="227">
        <v>0</v>
      </c>
      <c r="AB61" s="227">
        <v>0</v>
      </c>
      <c r="AC61" s="199">
        <f t="shared" si="5"/>
        <v>0</v>
      </c>
      <c r="AD61" s="228">
        <v>237194.06</v>
      </c>
      <c r="AE61" s="228"/>
      <c r="AF61" s="228">
        <v>553452.8</v>
      </c>
      <c r="AG61" s="228">
        <v>0</v>
      </c>
      <c r="AH61" s="228"/>
      <c r="AI61" s="228"/>
      <c r="AJ61" s="228"/>
      <c r="AK61" s="199">
        <f t="shared" si="6"/>
        <v>553452.8</v>
      </c>
      <c r="AL61" s="85">
        <f t="shared" si="8"/>
        <v>802760.4800000001</v>
      </c>
      <c r="AN61" s="200"/>
      <c r="AO61" s="69">
        <f t="shared" si="9"/>
        <v>1</v>
      </c>
    </row>
    <row r="62" spans="1:41" s="69" customFormat="1" ht="15">
      <c r="A62" s="77" t="s">
        <v>265</v>
      </c>
      <c r="B62" s="69">
        <v>57</v>
      </c>
      <c r="C62" s="78" t="s">
        <v>266</v>
      </c>
      <c r="D62" s="226"/>
      <c r="E62" s="226"/>
      <c r="F62" s="226"/>
      <c r="G62" s="227"/>
      <c r="H62" s="243">
        <v>5197.19</v>
      </c>
      <c r="I62" s="228"/>
      <c r="J62" s="229">
        <v>89470.76</v>
      </c>
      <c r="K62" s="229"/>
      <c r="L62" s="199">
        <f t="shared" si="2"/>
        <v>94667.95</v>
      </c>
      <c r="M62" s="230"/>
      <c r="N62" s="228"/>
      <c r="O62" s="229">
        <v>68989.43</v>
      </c>
      <c r="P62" s="199">
        <f t="shared" si="3"/>
        <v>68989.43</v>
      </c>
      <c r="Q62" s="228">
        <v>39277.01</v>
      </c>
      <c r="R62" s="229"/>
      <c r="S62" s="229">
        <v>69147.43</v>
      </c>
      <c r="T62" s="228"/>
      <c r="U62" s="199">
        <f t="shared" si="10"/>
        <v>108424.44</v>
      </c>
      <c r="V62" s="229">
        <v>73322.37</v>
      </c>
      <c r="W62" s="227"/>
      <c r="X62" s="228"/>
      <c r="Y62" s="228"/>
      <c r="Z62" s="199">
        <f t="shared" si="7"/>
        <v>73322.37</v>
      </c>
      <c r="AA62" s="227">
        <v>0</v>
      </c>
      <c r="AB62" s="227">
        <v>0</v>
      </c>
      <c r="AC62" s="199">
        <f t="shared" si="5"/>
        <v>0</v>
      </c>
      <c r="AD62" s="228">
        <v>240870.77</v>
      </c>
      <c r="AE62" s="228"/>
      <c r="AF62" s="228">
        <v>1365520.85</v>
      </c>
      <c r="AG62" s="228">
        <v>0</v>
      </c>
      <c r="AH62" s="228"/>
      <c r="AI62" s="228"/>
      <c r="AJ62" s="228"/>
      <c r="AK62" s="199">
        <f t="shared" si="6"/>
        <v>1365520.85</v>
      </c>
      <c r="AL62" s="85">
        <f t="shared" si="8"/>
        <v>1951795.81</v>
      </c>
      <c r="AN62" s="200"/>
      <c r="AO62" s="69">
        <f t="shared" si="9"/>
        <v>1</v>
      </c>
    </row>
    <row r="63" spans="1:41" s="69" customFormat="1" ht="15">
      <c r="A63" s="77" t="s">
        <v>267</v>
      </c>
      <c r="B63" s="69">
        <v>58</v>
      </c>
      <c r="C63" s="78" t="s">
        <v>268</v>
      </c>
      <c r="D63" s="226"/>
      <c r="E63" s="226"/>
      <c r="F63" s="226">
        <v>193471.97</v>
      </c>
      <c r="G63" s="227"/>
      <c r="H63" s="243">
        <v>486787.09</v>
      </c>
      <c r="I63" s="228"/>
      <c r="J63" s="229"/>
      <c r="K63" s="229">
        <v>191142.30000000002</v>
      </c>
      <c r="L63" s="199">
        <f t="shared" si="2"/>
        <v>871401.3600000001</v>
      </c>
      <c r="M63" s="230"/>
      <c r="N63" s="228"/>
      <c r="O63" s="229">
        <v>3586.18</v>
      </c>
      <c r="P63" s="199">
        <f t="shared" si="3"/>
        <v>3586.18</v>
      </c>
      <c r="Q63" s="228"/>
      <c r="R63" s="229"/>
      <c r="S63" s="229">
        <v>193703.93</v>
      </c>
      <c r="T63" s="228">
        <v>52698.49</v>
      </c>
      <c r="U63" s="199">
        <f t="shared" si="10"/>
        <v>246402.41999999998</v>
      </c>
      <c r="V63" s="229">
        <v>205399.26</v>
      </c>
      <c r="W63" s="227">
        <v>134228.23</v>
      </c>
      <c r="X63" s="228">
        <v>134233.01</v>
      </c>
      <c r="Y63" s="228"/>
      <c r="Z63" s="199">
        <f t="shared" si="7"/>
        <v>473860.5</v>
      </c>
      <c r="AA63" s="227">
        <v>314035.02</v>
      </c>
      <c r="AB63" s="227">
        <v>314035.02</v>
      </c>
      <c r="AC63" s="199">
        <f t="shared" si="5"/>
        <v>628070.04</v>
      </c>
      <c r="AD63" s="228">
        <v>921667.77</v>
      </c>
      <c r="AE63" s="228"/>
      <c r="AF63" s="228">
        <v>2150558.11</v>
      </c>
      <c r="AG63" s="228">
        <v>0</v>
      </c>
      <c r="AH63" s="228"/>
      <c r="AI63" s="228"/>
      <c r="AJ63" s="228"/>
      <c r="AK63" s="199">
        <f t="shared" si="6"/>
        <v>2150558.11</v>
      </c>
      <c r="AL63" s="85">
        <f t="shared" si="8"/>
        <v>5295546.38</v>
      </c>
      <c r="AN63" s="200"/>
      <c r="AO63" s="69">
        <f t="shared" si="9"/>
        <v>1</v>
      </c>
    </row>
    <row r="64" spans="1:41" s="69" customFormat="1" ht="15">
      <c r="A64" s="77" t="s">
        <v>269</v>
      </c>
      <c r="B64" s="69">
        <v>59</v>
      </c>
      <c r="C64" s="78" t="s">
        <v>270</v>
      </c>
      <c r="D64" s="226">
        <v>150000</v>
      </c>
      <c r="E64" s="226"/>
      <c r="F64" s="226"/>
      <c r="G64" s="227"/>
      <c r="H64" s="243"/>
      <c r="I64" s="228"/>
      <c r="J64" s="229"/>
      <c r="K64" s="229"/>
      <c r="L64" s="199">
        <f t="shared" si="2"/>
        <v>150000</v>
      </c>
      <c r="M64" s="230"/>
      <c r="N64" s="228"/>
      <c r="O64" s="229"/>
      <c r="P64" s="199">
        <f t="shared" si="3"/>
        <v>0</v>
      </c>
      <c r="Q64" s="228"/>
      <c r="R64" s="229"/>
      <c r="S64" s="229">
        <v>0</v>
      </c>
      <c r="T64" s="228"/>
      <c r="U64" s="199">
        <f t="shared" si="10"/>
        <v>0</v>
      </c>
      <c r="V64" s="229">
        <v>0</v>
      </c>
      <c r="W64" s="227"/>
      <c r="X64" s="228"/>
      <c r="Y64" s="228"/>
      <c r="Z64" s="199">
        <f t="shared" si="7"/>
        <v>0</v>
      </c>
      <c r="AA64" s="227">
        <v>0</v>
      </c>
      <c r="AB64" s="227">
        <v>0</v>
      </c>
      <c r="AC64" s="199">
        <f t="shared" si="5"/>
        <v>0</v>
      </c>
      <c r="AD64" s="228"/>
      <c r="AE64" s="228"/>
      <c r="AF64" s="228">
        <v>23124.02</v>
      </c>
      <c r="AG64" s="228">
        <v>9910.3</v>
      </c>
      <c r="AH64" s="228"/>
      <c r="AI64" s="228"/>
      <c r="AJ64" s="228"/>
      <c r="AK64" s="199">
        <f t="shared" si="6"/>
        <v>33034.32</v>
      </c>
      <c r="AL64" s="85">
        <f t="shared" si="8"/>
        <v>183034.32</v>
      </c>
      <c r="AN64" s="200"/>
      <c r="AO64" s="69">
        <f t="shared" si="9"/>
        <v>1</v>
      </c>
    </row>
    <row r="65" spans="1:41" s="69" customFormat="1" ht="15">
      <c r="A65" s="77" t="s">
        <v>271</v>
      </c>
      <c r="B65" s="69">
        <v>60</v>
      </c>
      <c r="C65" s="78" t="s">
        <v>272</v>
      </c>
      <c r="D65" s="226">
        <v>150000</v>
      </c>
      <c r="E65" s="226"/>
      <c r="F65" s="226">
        <v>132017.67</v>
      </c>
      <c r="G65" s="227"/>
      <c r="H65" s="243"/>
      <c r="I65" s="228"/>
      <c r="J65" s="229"/>
      <c r="K65" s="229"/>
      <c r="L65" s="199">
        <f t="shared" si="2"/>
        <v>282017.67000000004</v>
      </c>
      <c r="M65" s="230">
        <v>123404.18</v>
      </c>
      <c r="N65" s="228"/>
      <c r="O65" s="229"/>
      <c r="P65" s="199">
        <f t="shared" si="3"/>
        <v>123404.18</v>
      </c>
      <c r="Q65" s="228"/>
      <c r="R65" s="229"/>
      <c r="S65" s="229">
        <v>0</v>
      </c>
      <c r="T65" s="228"/>
      <c r="U65" s="199">
        <f t="shared" si="10"/>
        <v>0</v>
      </c>
      <c r="V65" s="229">
        <v>0</v>
      </c>
      <c r="W65" s="227"/>
      <c r="X65" s="228"/>
      <c r="Y65" s="228">
        <v>91184.92</v>
      </c>
      <c r="Z65" s="199">
        <f t="shared" si="7"/>
        <v>91184.92</v>
      </c>
      <c r="AA65" s="227">
        <v>0</v>
      </c>
      <c r="AB65" s="227">
        <v>0</v>
      </c>
      <c r="AC65" s="199">
        <f t="shared" si="5"/>
        <v>0</v>
      </c>
      <c r="AD65" s="228">
        <v>352707.95</v>
      </c>
      <c r="AE65" s="228"/>
      <c r="AF65" s="228">
        <v>1021752.18</v>
      </c>
      <c r="AG65" s="228">
        <v>0</v>
      </c>
      <c r="AH65" s="228"/>
      <c r="AI65" s="228"/>
      <c r="AJ65" s="228"/>
      <c r="AK65" s="199">
        <f t="shared" si="6"/>
        <v>1021752.18</v>
      </c>
      <c r="AL65" s="85">
        <f t="shared" si="8"/>
        <v>1871066.9</v>
      </c>
      <c r="AN65" s="200"/>
      <c r="AO65" s="69">
        <f t="shared" si="9"/>
        <v>1</v>
      </c>
    </row>
    <row r="66" spans="1:41" s="69" customFormat="1" ht="15">
      <c r="A66" s="77" t="s">
        <v>273</v>
      </c>
      <c r="B66" s="69">
        <v>61</v>
      </c>
      <c r="C66" s="78" t="s">
        <v>274</v>
      </c>
      <c r="D66" s="226"/>
      <c r="E66" s="226"/>
      <c r="F66" s="226"/>
      <c r="G66" s="227"/>
      <c r="H66" s="243"/>
      <c r="I66" s="228"/>
      <c r="J66" s="229"/>
      <c r="K66" s="229"/>
      <c r="L66" s="199">
        <f t="shared" si="2"/>
        <v>0</v>
      </c>
      <c r="M66" s="230">
        <v>262826.63</v>
      </c>
      <c r="N66" s="228"/>
      <c r="O66" s="229">
        <v>67968.1</v>
      </c>
      <c r="P66" s="199">
        <f t="shared" si="3"/>
        <v>330794.73</v>
      </c>
      <c r="Q66" s="228">
        <v>38675.36</v>
      </c>
      <c r="R66" s="229"/>
      <c r="S66" s="229">
        <v>0</v>
      </c>
      <c r="T66" s="228"/>
      <c r="U66" s="199">
        <f t="shared" si="10"/>
        <v>38675.36</v>
      </c>
      <c r="V66" s="229">
        <v>0</v>
      </c>
      <c r="W66" s="227"/>
      <c r="X66" s="228"/>
      <c r="Y66" s="228">
        <v>41438.1</v>
      </c>
      <c r="Z66" s="199">
        <f t="shared" si="7"/>
        <v>41438.1</v>
      </c>
      <c r="AA66" s="227">
        <v>0</v>
      </c>
      <c r="AB66" s="227">
        <v>0</v>
      </c>
      <c r="AC66" s="199">
        <f t="shared" si="5"/>
        <v>0</v>
      </c>
      <c r="AD66" s="228">
        <v>94414.49</v>
      </c>
      <c r="AE66" s="228"/>
      <c r="AF66" s="228">
        <v>316989.36</v>
      </c>
      <c r="AG66" s="228">
        <v>0</v>
      </c>
      <c r="AH66" s="228"/>
      <c r="AI66" s="228"/>
      <c r="AJ66" s="228"/>
      <c r="AK66" s="199">
        <f t="shared" si="6"/>
        <v>316989.36</v>
      </c>
      <c r="AL66" s="85">
        <f t="shared" si="8"/>
        <v>822312.0399999999</v>
      </c>
      <c r="AN66" s="200"/>
      <c r="AO66" s="69">
        <f t="shared" si="9"/>
        <v>1</v>
      </c>
    </row>
    <row r="67" spans="1:41" s="69" customFormat="1" ht="15">
      <c r="A67" s="77" t="s">
        <v>275</v>
      </c>
      <c r="B67" s="69">
        <v>62</v>
      </c>
      <c r="C67" s="78" t="s">
        <v>276</v>
      </c>
      <c r="D67" s="226"/>
      <c r="E67" s="226"/>
      <c r="F67" s="226"/>
      <c r="G67" s="227"/>
      <c r="H67" s="243"/>
      <c r="I67" s="228"/>
      <c r="J67" s="229"/>
      <c r="K67" s="229"/>
      <c r="L67" s="199">
        <f t="shared" si="2"/>
        <v>0</v>
      </c>
      <c r="M67" s="230"/>
      <c r="N67" s="228"/>
      <c r="O67" s="229"/>
      <c r="P67" s="199">
        <f t="shared" si="3"/>
        <v>0</v>
      </c>
      <c r="Q67" s="228"/>
      <c r="R67" s="229"/>
      <c r="S67" s="229">
        <v>0</v>
      </c>
      <c r="T67" s="228"/>
      <c r="U67" s="199">
        <f t="shared" si="10"/>
        <v>0</v>
      </c>
      <c r="V67" s="229">
        <v>0</v>
      </c>
      <c r="W67" s="227"/>
      <c r="X67" s="228"/>
      <c r="Y67" s="228"/>
      <c r="Z67" s="199">
        <f t="shared" si="7"/>
        <v>0</v>
      </c>
      <c r="AA67" s="227">
        <v>0</v>
      </c>
      <c r="AB67" s="227">
        <v>0</v>
      </c>
      <c r="AC67" s="199">
        <f t="shared" si="5"/>
        <v>0</v>
      </c>
      <c r="AD67" s="228"/>
      <c r="AE67" s="228"/>
      <c r="AF67" s="228">
        <v>0</v>
      </c>
      <c r="AG67" s="228">
        <v>0</v>
      </c>
      <c r="AH67" s="228"/>
      <c r="AI67" s="228"/>
      <c r="AJ67" s="228"/>
      <c r="AK67" s="199">
        <f t="shared" si="6"/>
        <v>0</v>
      </c>
      <c r="AL67" s="85">
        <f t="shared" si="8"/>
        <v>0</v>
      </c>
      <c r="AN67" s="200"/>
      <c r="AO67" s="69">
        <f t="shared" si="9"/>
        <v>0</v>
      </c>
    </row>
    <row r="68" spans="1:41" s="69" customFormat="1" ht="15">
      <c r="A68" s="77" t="s">
        <v>277</v>
      </c>
      <c r="B68" s="69">
        <v>63</v>
      </c>
      <c r="C68" s="78" t="s">
        <v>278</v>
      </c>
      <c r="D68" s="226"/>
      <c r="E68" s="226"/>
      <c r="F68" s="226">
        <v>9850.31</v>
      </c>
      <c r="G68" s="227"/>
      <c r="H68" s="243"/>
      <c r="I68" s="228"/>
      <c r="J68" s="229"/>
      <c r="K68" s="229"/>
      <c r="L68" s="199">
        <f t="shared" si="2"/>
        <v>9850.31</v>
      </c>
      <c r="M68" s="230"/>
      <c r="N68" s="228"/>
      <c r="O68" s="229"/>
      <c r="P68" s="199">
        <f t="shared" si="3"/>
        <v>0</v>
      </c>
      <c r="Q68" s="228"/>
      <c r="R68" s="229"/>
      <c r="S68" s="229">
        <v>0</v>
      </c>
      <c r="T68" s="228"/>
      <c r="U68" s="199">
        <f t="shared" si="10"/>
        <v>0</v>
      </c>
      <c r="V68" s="229">
        <v>0</v>
      </c>
      <c r="W68" s="227"/>
      <c r="X68" s="228"/>
      <c r="Y68" s="228"/>
      <c r="Z68" s="199">
        <f t="shared" si="7"/>
        <v>0</v>
      </c>
      <c r="AA68" s="227">
        <v>0</v>
      </c>
      <c r="AB68" s="227">
        <v>0</v>
      </c>
      <c r="AC68" s="199">
        <f t="shared" si="5"/>
        <v>0</v>
      </c>
      <c r="AD68" s="228"/>
      <c r="AE68" s="228"/>
      <c r="AF68" s="228">
        <v>0</v>
      </c>
      <c r="AG68" s="228">
        <v>0</v>
      </c>
      <c r="AH68" s="228"/>
      <c r="AI68" s="228"/>
      <c r="AJ68" s="228"/>
      <c r="AK68" s="199">
        <f t="shared" si="6"/>
        <v>0</v>
      </c>
      <c r="AL68" s="85">
        <f t="shared" si="8"/>
        <v>9850.31</v>
      </c>
      <c r="AN68" s="200"/>
      <c r="AO68" s="69">
        <f t="shared" si="9"/>
        <v>1</v>
      </c>
    </row>
    <row r="69" spans="1:41" s="69" customFormat="1" ht="15">
      <c r="A69" s="77" t="s">
        <v>279</v>
      </c>
      <c r="B69" s="69">
        <v>64</v>
      </c>
      <c r="C69" s="78" t="s">
        <v>280</v>
      </c>
      <c r="D69" s="226"/>
      <c r="E69" s="226"/>
      <c r="F69" s="226"/>
      <c r="G69" s="227"/>
      <c r="H69" s="243"/>
      <c r="I69" s="228"/>
      <c r="J69" s="229"/>
      <c r="K69" s="229"/>
      <c r="L69" s="199">
        <f t="shared" si="2"/>
        <v>0</v>
      </c>
      <c r="M69" s="230"/>
      <c r="N69" s="228"/>
      <c r="O69" s="229"/>
      <c r="P69" s="199">
        <f t="shared" si="3"/>
        <v>0</v>
      </c>
      <c r="Q69" s="228"/>
      <c r="R69" s="229">
        <v>23764.51</v>
      </c>
      <c r="S69" s="229">
        <v>0</v>
      </c>
      <c r="T69" s="228"/>
      <c r="U69" s="199">
        <f t="shared" si="10"/>
        <v>23764.51</v>
      </c>
      <c r="V69" s="229">
        <v>0</v>
      </c>
      <c r="W69" s="227"/>
      <c r="X69" s="228"/>
      <c r="Y69" s="228">
        <v>23845.11</v>
      </c>
      <c r="Z69" s="199">
        <f t="shared" si="7"/>
        <v>23845.11</v>
      </c>
      <c r="AA69" s="227">
        <v>0</v>
      </c>
      <c r="AB69" s="227">
        <v>0</v>
      </c>
      <c r="AC69" s="199">
        <f t="shared" si="5"/>
        <v>0</v>
      </c>
      <c r="AD69" s="228">
        <v>88324.04</v>
      </c>
      <c r="AE69" s="228"/>
      <c r="AF69" s="228">
        <v>55683.58</v>
      </c>
      <c r="AG69" s="228">
        <v>0</v>
      </c>
      <c r="AH69" s="228"/>
      <c r="AI69" s="228"/>
      <c r="AJ69" s="228"/>
      <c r="AK69" s="199">
        <f t="shared" si="6"/>
        <v>55683.58</v>
      </c>
      <c r="AL69" s="85">
        <f t="shared" si="8"/>
        <v>191617.24</v>
      </c>
      <c r="AN69" s="200"/>
      <c r="AO69" s="69">
        <f t="shared" si="9"/>
        <v>1</v>
      </c>
    </row>
    <row r="70" spans="1:41" s="69" customFormat="1" ht="15">
      <c r="A70" s="77" t="s">
        <v>281</v>
      </c>
      <c r="B70" s="69">
        <v>65</v>
      </c>
      <c r="C70" s="78" t="s">
        <v>282</v>
      </c>
      <c r="D70" s="226"/>
      <c r="E70" s="226"/>
      <c r="F70" s="226"/>
      <c r="G70" s="227"/>
      <c r="H70" s="243"/>
      <c r="I70" s="228"/>
      <c r="J70" s="229"/>
      <c r="K70" s="229"/>
      <c r="L70" s="199">
        <f t="shared" si="2"/>
        <v>0</v>
      </c>
      <c r="M70" s="230">
        <v>25895</v>
      </c>
      <c r="N70" s="228"/>
      <c r="O70" s="229"/>
      <c r="P70" s="199">
        <f t="shared" si="3"/>
        <v>25895</v>
      </c>
      <c r="Q70" s="228"/>
      <c r="R70" s="229"/>
      <c r="S70" s="229">
        <v>0</v>
      </c>
      <c r="T70" s="228"/>
      <c r="U70" s="199">
        <f t="shared" si="10"/>
        <v>0</v>
      </c>
      <c r="V70" s="229">
        <v>0</v>
      </c>
      <c r="W70" s="227"/>
      <c r="X70" s="228"/>
      <c r="Y70" s="228"/>
      <c r="Z70" s="199">
        <f t="shared" si="7"/>
        <v>0</v>
      </c>
      <c r="AA70" s="227">
        <v>0</v>
      </c>
      <c r="AB70" s="227">
        <v>0</v>
      </c>
      <c r="AC70" s="199">
        <f t="shared" si="5"/>
        <v>0</v>
      </c>
      <c r="AD70" s="228"/>
      <c r="AE70" s="228"/>
      <c r="AF70" s="228">
        <v>0</v>
      </c>
      <c r="AG70" s="228">
        <v>0</v>
      </c>
      <c r="AH70" s="228"/>
      <c r="AI70" s="228"/>
      <c r="AJ70" s="228"/>
      <c r="AK70" s="199">
        <f aca="true" t="shared" si="11" ref="AK70:AK119">SUM(AE70:AJ70)</f>
        <v>0</v>
      </c>
      <c r="AL70" s="85">
        <f t="shared" si="8"/>
        <v>25895</v>
      </c>
      <c r="AN70" s="200"/>
      <c r="AO70" s="69">
        <f t="shared" si="9"/>
        <v>1</v>
      </c>
    </row>
    <row r="71" spans="1:41" s="69" customFormat="1" ht="15">
      <c r="A71" s="77" t="s">
        <v>283</v>
      </c>
      <c r="B71" s="69">
        <v>66</v>
      </c>
      <c r="C71" s="78" t="s">
        <v>284</v>
      </c>
      <c r="D71" s="226"/>
      <c r="E71" s="226"/>
      <c r="F71" s="226"/>
      <c r="G71" s="227"/>
      <c r="H71" s="243"/>
      <c r="I71" s="228"/>
      <c r="J71" s="229"/>
      <c r="K71" s="229"/>
      <c r="L71" s="199">
        <f aca="true" t="shared" si="12" ref="L71:L119">SUM(D71:K71)</f>
        <v>0</v>
      </c>
      <c r="M71" s="230"/>
      <c r="N71" s="228"/>
      <c r="O71" s="229"/>
      <c r="P71" s="199">
        <f aca="true" t="shared" si="13" ref="P71:P119">SUM(M71:O71)</f>
        <v>0</v>
      </c>
      <c r="Q71" s="228"/>
      <c r="R71" s="229"/>
      <c r="S71" s="229">
        <v>0</v>
      </c>
      <c r="T71" s="228"/>
      <c r="U71" s="199">
        <f aca="true" t="shared" si="14" ref="U71:U103">SUM(Q71:T71)</f>
        <v>0</v>
      </c>
      <c r="V71" s="229">
        <v>0</v>
      </c>
      <c r="W71" s="227"/>
      <c r="X71" s="228"/>
      <c r="Y71" s="228"/>
      <c r="Z71" s="199">
        <f aca="true" t="shared" si="15" ref="Z71:Z107">SUM(V71:Y71)</f>
        <v>0</v>
      </c>
      <c r="AA71" s="227">
        <v>0</v>
      </c>
      <c r="AB71" s="227">
        <v>0</v>
      </c>
      <c r="AC71" s="199">
        <f aca="true" t="shared" si="16" ref="AC71:AC119">SUM(AA71:AB71)</f>
        <v>0</v>
      </c>
      <c r="AD71" s="228"/>
      <c r="AE71" s="228"/>
      <c r="AF71" s="228">
        <v>0</v>
      </c>
      <c r="AG71" s="228">
        <v>0</v>
      </c>
      <c r="AH71" s="228"/>
      <c r="AI71" s="228"/>
      <c r="AJ71" s="228"/>
      <c r="AK71" s="199">
        <f t="shared" si="11"/>
        <v>0</v>
      </c>
      <c r="AL71" s="85">
        <f aca="true" t="shared" si="17" ref="AL71:AL119">+AD71+AK71+AC71+Z71+U71+P71+L71</f>
        <v>0</v>
      </c>
      <c r="AN71" s="200"/>
      <c r="AO71" s="69">
        <f aca="true" t="shared" si="18" ref="AO71:AO119">IF(AL71=AN71,0,1)</f>
        <v>0</v>
      </c>
    </row>
    <row r="72" spans="1:41" s="69" customFormat="1" ht="15">
      <c r="A72" s="77" t="s">
        <v>285</v>
      </c>
      <c r="B72" s="69">
        <v>67</v>
      </c>
      <c r="C72" s="78" t="s">
        <v>286</v>
      </c>
      <c r="D72" s="226"/>
      <c r="E72" s="226"/>
      <c r="F72" s="226"/>
      <c r="G72" s="227"/>
      <c r="H72" s="243"/>
      <c r="I72" s="228"/>
      <c r="J72" s="229"/>
      <c r="K72" s="229"/>
      <c r="L72" s="199">
        <f t="shared" si="12"/>
        <v>0</v>
      </c>
      <c r="M72" s="230"/>
      <c r="N72" s="228"/>
      <c r="O72" s="229">
        <v>17272.21</v>
      </c>
      <c r="P72" s="199">
        <f t="shared" si="13"/>
        <v>17272.21</v>
      </c>
      <c r="Q72" s="228">
        <v>9828.27</v>
      </c>
      <c r="R72" s="229"/>
      <c r="S72" s="229">
        <v>29767.51</v>
      </c>
      <c r="T72" s="228">
        <v>10087.71</v>
      </c>
      <c r="U72" s="199">
        <f t="shared" si="14"/>
        <v>49683.49</v>
      </c>
      <c r="V72" s="229">
        <v>31564.79</v>
      </c>
      <c r="W72" s="227">
        <v>25694.39</v>
      </c>
      <c r="X72" s="228">
        <v>25695.31</v>
      </c>
      <c r="Y72" s="228"/>
      <c r="Z72" s="199">
        <f t="shared" si="15"/>
        <v>82954.49</v>
      </c>
      <c r="AA72" s="227">
        <v>60113.58</v>
      </c>
      <c r="AB72" s="227">
        <v>60113.58</v>
      </c>
      <c r="AC72" s="199">
        <f t="shared" si="16"/>
        <v>120227.16</v>
      </c>
      <c r="AD72" s="228"/>
      <c r="AE72" s="228"/>
      <c r="AF72" s="228">
        <v>0</v>
      </c>
      <c r="AG72" s="228">
        <v>0</v>
      </c>
      <c r="AH72" s="228"/>
      <c r="AI72" s="228"/>
      <c r="AJ72" s="228"/>
      <c r="AK72" s="199">
        <f t="shared" si="11"/>
        <v>0</v>
      </c>
      <c r="AL72" s="85">
        <f t="shared" si="17"/>
        <v>270137.35000000003</v>
      </c>
      <c r="AN72" s="200"/>
      <c r="AO72" s="69">
        <f t="shared" si="18"/>
        <v>1</v>
      </c>
    </row>
    <row r="73" spans="1:41" s="69" customFormat="1" ht="15">
      <c r="A73" s="77" t="s">
        <v>287</v>
      </c>
      <c r="B73" s="69">
        <v>68</v>
      </c>
      <c r="C73" s="78" t="s">
        <v>288</v>
      </c>
      <c r="D73" s="226"/>
      <c r="E73" s="226"/>
      <c r="F73" s="226"/>
      <c r="G73" s="227"/>
      <c r="H73" s="243"/>
      <c r="I73" s="228"/>
      <c r="J73" s="229"/>
      <c r="K73" s="229"/>
      <c r="L73" s="199">
        <f t="shared" si="12"/>
        <v>0</v>
      </c>
      <c r="M73" s="230"/>
      <c r="N73" s="228"/>
      <c r="O73" s="229">
        <v>12116.859999999999</v>
      </c>
      <c r="P73" s="199">
        <f t="shared" si="13"/>
        <v>12116.859999999999</v>
      </c>
      <c r="Q73" s="228">
        <v>6894.76</v>
      </c>
      <c r="R73" s="229"/>
      <c r="S73" s="229">
        <v>0</v>
      </c>
      <c r="T73" s="228"/>
      <c r="U73" s="199">
        <f t="shared" si="14"/>
        <v>6894.76</v>
      </c>
      <c r="V73" s="229">
        <v>0</v>
      </c>
      <c r="W73" s="227"/>
      <c r="X73" s="228"/>
      <c r="Y73" s="228">
        <v>28672.72</v>
      </c>
      <c r="Z73" s="199">
        <f t="shared" si="15"/>
        <v>28672.72</v>
      </c>
      <c r="AA73" s="227">
        <v>0</v>
      </c>
      <c r="AB73" s="227">
        <v>0</v>
      </c>
      <c r="AC73" s="199">
        <f t="shared" si="16"/>
        <v>0</v>
      </c>
      <c r="AD73" s="228">
        <v>22389.09</v>
      </c>
      <c r="AE73" s="228"/>
      <c r="AF73" s="228">
        <v>133328.42</v>
      </c>
      <c r="AG73" s="228">
        <v>6078.94</v>
      </c>
      <c r="AH73" s="228"/>
      <c r="AI73" s="228"/>
      <c r="AJ73" s="228"/>
      <c r="AK73" s="199">
        <f t="shared" si="11"/>
        <v>139407.36000000002</v>
      </c>
      <c r="AL73" s="85">
        <f t="shared" si="17"/>
        <v>209480.79</v>
      </c>
      <c r="AN73" s="200"/>
      <c r="AO73" s="69">
        <f t="shared" si="18"/>
        <v>1</v>
      </c>
    </row>
    <row r="74" spans="1:41" s="69" customFormat="1" ht="15">
      <c r="A74" s="77" t="s">
        <v>289</v>
      </c>
      <c r="B74" s="69">
        <v>69</v>
      </c>
      <c r="C74" s="78" t="s">
        <v>290</v>
      </c>
      <c r="D74" s="226"/>
      <c r="E74" s="226"/>
      <c r="F74" s="226"/>
      <c r="G74" s="227"/>
      <c r="H74" s="243"/>
      <c r="I74" s="228">
        <v>136282.48</v>
      </c>
      <c r="J74" s="229"/>
      <c r="K74" s="229"/>
      <c r="L74" s="199">
        <f t="shared" si="12"/>
        <v>136282.48</v>
      </c>
      <c r="M74" s="230"/>
      <c r="N74" s="228"/>
      <c r="O74" s="229"/>
      <c r="P74" s="199">
        <f t="shared" si="13"/>
        <v>0</v>
      </c>
      <c r="Q74" s="228">
        <v>403257.73</v>
      </c>
      <c r="R74" s="229">
        <v>150252.25</v>
      </c>
      <c r="S74" s="229">
        <v>18507.3</v>
      </c>
      <c r="T74" s="228">
        <v>26347.89</v>
      </c>
      <c r="U74" s="199">
        <f t="shared" si="14"/>
        <v>598365.17</v>
      </c>
      <c r="V74" s="229">
        <v>19624.72</v>
      </c>
      <c r="W74" s="227">
        <v>67110.66</v>
      </c>
      <c r="X74" s="228">
        <v>67113.04</v>
      </c>
      <c r="Y74" s="228"/>
      <c r="Z74" s="199">
        <f t="shared" si="15"/>
        <v>153848.41999999998</v>
      </c>
      <c r="AA74" s="227">
        <v>157009.41</v>
      </c>
      <c r="AB74" s="227">
        <v>157009.41</v>
      </c>
      <c r="AC74" s="199">
        <f t="shared" si="16"/>
        <v>314018.82</v>
      </c>
      <c r="AD74" s="228"/>
      <c r="AE74" s="228"/>
      <c r="AF74" s="228">
        <v>0</v>
      </c>
      <c r="AG74" s="228">
        <v>0</v>
      </c>
      <c r="AH74" s="228"/>
      <c r="AI74" s="228"/>
      <c r="AJ74" s="228"/>
      <c r="AK74" s="199">
        <f t="shared" si="11"/>
        <v>0</v>
      </c>
      <c r="AL74" s="85">
        <f t="shared" si="17"/>
        <v>1202514.8900000001</v>
      </c>
      <c r="AN74" s="200"/>
      <c r="AO74" s="69">
        <f t="shared" si="18"/>
        <v>1</v>
      </c>
    </row>
    <row r="75" spans="1:41" s="69" customFormat="1" ht="15">
      <c r="A75" s="77" t="s">
        <v>291</v>
      </c>
      <c r="B75" s="69">
        <v>70</v>
      </c>
      <c r="C75" s="78" t="s">
        <v>292</v>
      </c>
      <c r="D75" s="226"/>
      <c r="E75" s="226"/>
      <c r="F75" s="226"/>
      <c r="G75" s="227"/>
      <c r="H75" s="243"/>
      <c r="I75" s="228"/>
      <c r="J75" s="229"/>
      <c r="K75" s="229"/>
      <c r="L75" s="199">
        <f t="shared" si="12"/>
        <v>0</v>
      </c>
      <c r="M75" s="230"/>
      <c r="N75" s="228"/>
      <c r="O75" s="229"/>
      <c r="P75" s="199">
        <f t="shared" si="13"/>
        <v>0</v>
      </c>
      <c r="Q75" s="228"/>
      <c r="R75" s="229"/>
      <c r="S75" s="229">
        <v>0</v>
      </c>
      <c r="T75" s="228"/>
      <c r="U75" s="199">
        <f t="shared" si="14"/>
        <v>0</v>
      </c>
      <c r="V75" s="229">
        <v>0</v>
      </c>
      <c r="W75" s="227"/>
      <c r="X75" s="228"/>
      <c r="Y75" s="228"/>
      <c r="Z75" s="199">
        <f t="shared" si="15"/>
        <v>0</v>
      </c>
      <c r="AA75" s="227">
        <v>0</v>
      </c>
      <c r="AB75" s="227">
        <v>0</v>
      </c>
      <c r="AC75" s="199">
        <f t="shared" si="16"/>
        <v>0</v>
      </c>
      <c r="AD75" s="228"/>
      <c r="AE75" s="228"/>
      <c r="AF75" s="228">
        <v>0</v>
      </c>
      <c r="AG75" s="228">
        <v>0</v>
      </c>
      <c r="AH75" s="228"/>
      <c r="AI75" s="228"/>
      <c r="AJ75" s="228"/>
      <c r="AK75" s="199">
        <f t="shared" si="11"/>
        <v>0</v>
      </c>
      <c r="AL75" s="85">
        <f t="shared" si="17"/>
        <v>0</v>
      </c>
      <c r="AN75" s="200"/>
      <c r="AO75" s="69">
        <f t="shared" si="18"/>
        <v>0</v>
      </c>
    </row>
    <row r="76" spans="1:41" s="69" customFormat="1" ht="15">
      <c r="A76" s="77" t="s">
        <v>293</v>
      </c>
      <c r="B76" s="69">
        <v>71</v>
      </c>
      <c r="C76" s="78" t="s">
        <v>294</v>
      </c>
      <c r="D76" s="226">
        <v>150000</v>
      </c>
      <c r="E76" s="226"/>
      <c r="F76" s="226"/>
      <c r="G76" s="227"/>
      <c r="H76" s="243"/>
      <c r="I76" s="228"/>
      <c r="J76" s="229"/>
      <c r="K76" s="229"/>
      <c r="L76" s="199">
        <f t="shared" si="12"/>
        <v>150000</v>
      </c>
      <c r="M76" s="230"/>
      <c r="N76" s="228"/>
      <c r="O76" s="229">
        <v>21098.65000000001</v>
      </c>
      <c r="P76" s="199">
        <f t="shared" si="13"/>
        <v>21098.65000000001</v>
      </c>
      <c r="Q76" s="228">
        <v>83285.4</v>
      </c>
      <c r="R76" s="229"/>
      <c r="S76" s="229">
        <v>39131.64</v>
      </c>
      <c r="T76" s="228">
        <v>11995.73</v>
      </c>
      <c r="U76" s="199">
        <f t="shared" si="14"/>
        <v>134412.77</v>
      </c>
      <c r="V76" s="229">
        <v>41494.31</v>
      </c>
      <c r="W76" s="227">
        <v>30554.29</v>
      </c>
      <c r="X76" s="228">
        <v>30555.38</v>
      </c>
      <c r="Y76" s="228"/>
      <c r="Z76" s="199">
        <f t="shared" si="15"/>
        <v>102603.98000000001</v>
      </c>
      <c r="AA76" s="227">
        <v>71483.6</v>
      </c>
      <c r="AB76" s="227">
        <v>71483.6</v>
      </c>
      <c r="AC76" s="199">
        <f t="shared" si="16"/>
        <v>142967.2</v>
      </c>
      <c r="AD76" s="228">
        <v>246315</v>
      </c>
      <c r="AE76" s="228"/>
      <c r="AF76" s="228">
        <v>725754.07</v>
      </c>
      <c r="AG76" s="228">
        <v>64722.46</v>
      </c>
      <c r="AH76" s="228"/>
      <c r="AI76" s="228"/>
      <c r="AJ76" s="228"/>
      <c r="AK76" s="199">
        <f t="shared" si="11"/>
        <v>790476.5299999999</v>
      </c>
      <c r="AL76" s="85">
        <f t="shared" si="17"/>
        <v>1587874.13</v>
      </c>
      <c r="AN76" s="200"/>
      <c r="AO76" s="69">
        <f t="shared" si="18"/>
        <v>1</v>
      </c>
    </row>
    <row r="77" spans="1:41" s="69" customFormat="1" ht="15">
      <c r="A77" s="77" t="s">
        <v>295</v>
      </c>
      <c r="B77" s="69">
        <v>72</v>
      </c>
      <c r="C77" s="78" t="s">
        <v>296</v>
      </c>
      <c r="D77" s="226"/>
      <c r="E77" s="226"/>
      <c r="F77" s="226"/>
      <c r="G77" s="227"/>
      <c r="H77" s="243"/>
      <c r="I77" s="228"/>
      <c r="J77" s="229"/>
      <c r="K77" s="229"/>
      <c r="L77" s="199">
        <f t="shared" si="12"/>
        <v>0</v>
      </c>
      <c r="M77" s="230">
        <v>247373</v>
      </c>
      <c r="N77" s="228"/>
      <c r="O77" s="229"/>
      <c r="P77" s="199">
        <f t="shared" si="13"/>
        <v>247373</v>
      </c>
      <c r="Q77" s="228">
        <v>156541.85</v>
      </c>
      <c r="R77" s="229">
        <v>38878.87</v>
      </c>
      <c r="S77" s="229">
        <v>11126.89</v>
      </c>
      <c r="T77" s="228">
        <v>8392.95</v>
      </c>
      <c r="U77" s="199">
        <f t="shared" si="14"/>
        <v>214940.56</v>
      </c>
      <c r="V77" s="229">
        <v>11798.7</v>
      </c>
      <c r="W77" s="227">
        <v>21377.67</v>
      </c>
      <c r="X77" s="228">
        <v>21378.43</v>
      </c>
      <c r="Y77" s="228">
        <v>172389.44</v>
      </c>
      <c r="Z77" s="199">
        <f t="shared" si="15"/>
        <v>226944.24</v>
      </c>
      <c r="AA77" s="227">
        <v>50014.34</v>
      </c>
      <c r="AB77" s="227">
        <v>50014.34</v>
      </c>
      <c r="AC77" s="199">
        <f t="shared" si="16"/>
        <v>100028.68</v>
      </c>
      <c r="AD77" s="228">
        <v>206992.7</v>
      </c>
      <c r="AE77" s="228"/>
      <c r="AF77" s="228">
        <v>877043.49</v>
      </c>
      <c r="AG77" s="228">
        <v>0</v>
      </c>
      <c r="AH77" s="228"/>
      <c r="AI77" s="228"/>
      <c r="AJ77" s="228"/>
      <c r="AK77" s="199">
        <f t="shared" si="11"/>
        <v>877043.49</v>
      </c>
      <c r="AL77" s="85">
        <f t="shared" si="17"/>
        <v>1873322.67</v>
      </c>
      <c r="AN77" s="200"/>
      <c r="AO77" s="69">
        <f t="shared" si="18"/>
        <v>1</v>
      </c>
    </row>
    <row r="78" spans="1:41" s="69" customFormat="1" ht="15">
      <c r="A78" s="77" t="s">
        <v>297</v>
      </c>
      <c r="B78" s="69">
        <v>73</v>
      </c>
      <c r="C78" s="78" t="s">
        <v>298</v>
      </c>
      <c r="D78" s="226"/>
      <c r="E78" s="226"/>
      <c r="F78" s="226"/>
      <c r="G78" s="227"/>
      <c r="H78" s="243"/>
      <c r="I78" s="228"/>
      <c r="J78" s="229"/>
      <c r="K78" s="229"/>
      <c r="L78" s="199">
        <f t="shared" si="12"/>
        <v>0</v>
      </c>
      <c r="M78" s="230"/>
      <c r="N78" s="228"/>
      <c r="O78" s="229"/>
      <c r="P78" s="199">
        <f t="shared" si="13"/>
        <v>0</v>
      </c>
      <c r="Q78" s="228"/>
      <c r="R78" s="229"/>
      <c r="S78" s="229">
        <v>0</v>
      </c>
      <c r="T78" s="228"/>
      <c r="U78" s="199">
        <f t="shared" si="14"/>
        <v>0</v>
      </c>
      <c r="V78" s="229">
        <v>0</v>
      </c>
      <c r="W78" s="227"/>
      <c r="X78" s="228"/>
      <c r="Y78" s="228">
        <v>8656.7</v>
      </c>
      <c r="Z78" s="199">
        <f t="shared" si="15"/>
        <v>8656.7</v>
      </c>
      <c r="AA78" s="227">
        <v>0</v>
      </c>
      <c r="AB78" s="227">
        <v>0</v>
      </c>
      <c r="AC78" s="199">
        <f t="shared" si="16"/>
        <v>0</v>
      </c>
      <c r="AD78" s="228">
        <v>2870.61</v>
      </c>
      <c r="AE78" s="228"/>
      <c r="AF78" s="228">
        <v>20198.98</v>
      </c>
      <c r="AG78" s="228">
        <v>0</v>
      </c>
      <c r="AH78" s="228"/>
      <c r="AI78" s="228"/>
      <c r="AJ78" s="228"/>
      <c r="AK78" s="199">
        <f t="shared" si="11"/>
        <v>20198.98</v>
      </c>
      <c r="AL78" s="85">
        <f t="shared" si="17"/>
        <v>31726.29</v>
      </c>
      <c r="AN78" s="200"/>
      <c r="AO78" s="69">
        <f t="shared" si="18"/>
        <v>1</v>
      </c>
    </row>
    <row r="79" spans="1:41" s="69" customFormat="1" ht="15">
      <c r="A79" s="77" t="s">
        <v>299</v>
      </c>
      <c r="B79" s="69">
        <v>74</v>
      </c>
      <c r="C79" s="79" t="s">
        <v>300</v>
      </c>
      <c r="D79" s="231"/>
      <c r="E79" s="231"/>
      <c r="F79" s="231"/>
      <c r="G79" s="232"/>
      <c r="H79" s="244"/>
      <c r="I79" s="228"/>
      <c r="J79" s="229"/>
      <c r="K79" s="229"/>
      <c r="L79" s="199">
        <f t="shared" si="12"/>
        <v>0</v>
      </c>
      <c r="M79" s="233"/>
      <c r="N79" s="228"/>
      <c r="O79" s="229">
        <v>23320</v>
      </c>
      <c r="P79" s="199">
        <f t="shared" si="13"/>
        <v>23320</v>
      </c>
      <c r="Q79" s="228"/>
      <c r="R79" s="229"/>
      <c r="S79" s="229">
        <v>28260.02</v>
      </c>
      <c r="T79" s="228"/>
      <c r="U79" s="199">
        <f t="shared" si="14"/>
        <v>28260.02</v>
      </c>
      <c r="V79" s="229">
        <v>29966.29</v>
      </c>
      <c r="W79" s="227"/>
      <c r="X79" s="228"/>
      <c r="Y79" s="228"/>
      <c r="Z79" s="199">
        <f t="shared" si="15"/>
        <v>29966.29</v>
      </c>
      <c r="AA79" s="227">
        <v>0</v>
      </c>
      <c r="AB79" s="227">
        <v>0</v>
      </c>
      <c r="AC79" s="199">
        <f t="shared" si="16"/>
        <v>0</v>
      </c>
      <c r="AD79" s="228"/>
      <c r="AE79" s="228"/>
      <c r="AF79" s="228">
        <v>0</v>
      </c>
      <c r="AG79" s="228">
        <v>0</v>
      </c>
      <c r="AH79" s="228"/>
      <c r="AI79" s="228"/>
      <c r="AJ79" s="228"/>
      <c r="AK79" s="199">
        <f t="shared" si="11"/>
        <v>0</v>
      </c>
      <c r="AL79" s="85">
        <f t="shared" si="17"/>
        <v>81546.31</v>
      </c>
      <c r="AN79" s="200"/>
      <c r="AO79" s="69">
        <f t="shared" si="18"/>
        <v>1</v>
      </c>
    </row>
    <row r="80" spans="1:41" s="69" customFormat="1" ht="15">
      <c r="A80" s="77" t="s">
        <v>301</v>
      </c>
      <c r="B80" s="69">
        <v>75</v>
      </c>
      <c r="C80" s="78" t="s">
        <v>302</v>
      </c>
      <c r="D80" s="226"/>
      <c r="E80" s="226"/>
      <c r="F80" s="226"/>
      <c r="G80" s="227"/>
      <c r="H80" s="243">
        <v>38099.47</v>
      </c>
      <c r="I80" s="228"/>
      <c r="J80" s="229"/>
      <c r="K80" s="229"/>
      <c r="L80" s="199">
        <f t="shared" si="12"/>
        <v>38099.47</v>
      </c>
      <c r="M80" s="230">
        <v>111315.69</v>
      </c>
      <c r="N80" s="228"/>
      <c r="O80" s="229"/>
      <c r="P80" s="199">
        <f t="shared" si="13"/>
        <v>111315.69</v>
      </c>
      <c r="Q80" s="228">
        <v>149424.14</v>
      </c>
      <c r="R80" s="229">
        <v>55674.85</v>
      </c>
      <c r="S80" s="229">
        <v>0</v>
      </c>
      <c r="T80" s="228"/>
      <c r="U80" s="199">
        <f t="shared" si="14"/>
        <v>205098.99000000002</v>
      </c>
      <c r="V80" s="229">
        <v>0</v>
      </c>
      <c r="W80" s="227"/>
      <c r="X80" s="228"/>
      <c r="Y80" s="228"/>
      <c r="Z80" s="199">
        <f t="shared" si="15"/>
        <v>0</v>
      </c>
      <c r="AA80" s="227">
        <v>0</v>
      </c>
      <c r="AB80" s="227">
        <v>0</v>
      </c>
      <c r="AC80" s="199">
        <f t="shared" si="16"/>
        <v>0</v>
      </c>
      <c r="AD80" s="228">
        <v>143055.37</v>
      </c>
      <c r="AE80" s="228"/>
      <c r="AF80" s="228">
        <v>333795.86</v>
      </c>
      <c r="AG80" s="228">
        <v>0</v>
      </c>
      <c r="AH80" s="228"/>
      <c r="AI80" s="228"/>
      <c r="AJ80" s="228"/>
      <c r="AK80" s="199">
        <f t="shared" si="11"/>
        <v>333795.86</v>
      </c>
      <c r="AL80" s="85">
        <f t="shared" si="17"/>
        <v>831365.3799999999</v>
      </c>
      <c r="AN80" s="200"/>
      <c r="AO80" s="69">
        <f t="shared" si="18"/>
        <v>1</v>
      </c>
    </row>
    <row r="81" spans="1:41" s="69" customFormat="1" ht="15">
      <c r="A81" s="77" t="s">
        <v>303</v>
      </c>
      <c r="B81" s="69">
        <v>76</v>
      </c>
      <c r="C81" s="78" t="s">
        <v>304</v>
      </c>
      <c r="D81" s="226">
        <v>150000</v>
      </c>
      <c r="E81" s="226"/>
      <c r="F81" s="226">
        <v>148384.22</v>
      </c>
      <c r="G81" s="227"/>
      <c r="H81" s="243"/>
      <c r="I81" s="228"/>
      <c r="J81" s="229"/>
      <c r="K81" s="229"/>
      <c r="L81" s="199">
        <f t="shared" si="12"/>
        <v>298384.22</v>
      </c>
      <c r="M81" s="230"/>
      <c r="N81" s="228"/>
      <c r="O81" s="229"/>
      <c r="P81" s="199">
        <f t="shared" si="13"/>
        <v>0</v>
      </c>
      <c r="Q81" s="228">
        <v>225668.56</v>
      </c>
      <c r="R81" s="229">
        <v>84083.22</v>
      </c>
      <c r="S81" s="229">
        <v>15083.27</v>
      </c>
      <c r="T81" s="228">
        <v>11377.23</v>
      </c>
      <c r="U81" s="199">
        <f t="shared" si="14"/>
        <v>336212.28</v>
      </c>
      <c r="V81" s="229">
        <v>15993.96</v>
      </c>
      <c r="W81" s="227">
        <v>28978.91</v>
      </c>
      <c r="X81" s="228">
        <v>28979.95</v>
      </c>
      <c r="Y81" s="228"/>
      <c r="Z81" s="199">
        <f t="shared" si="15"/>
        <v>73952.81999999999</v>
      </c>
      <c r="AA81" s="227">
        <v>67797.91</v>
      </c>
      <c r="AB81" s="227">
        <v>67797.91</v>
      </c>
      <c r="AC81" s="199">
        <f t="shared" si="16"/>
        <v>135595.82</v>
      </c>
      <c r="AD81" s="228">
        <v>203426.72</v>
      </c>
      <c r="AE81" s="228"/>
      <c r="AF81" s="228">
        <v>87182.88</v>
      </c>
      <c r="AG81" s="228">
        <v>0</v>
      </c>
      <c r="AH81" s="228"/>
      <c r="AI81" s="228"/>
      <c r="AJ81" s="228"/>
      <c r="AK81" s="199">
        <f t="shared" si="11"/>
        <v>87182.88</v>
      </c>
      <c r="AL81" s="85">
        <f t="shared" si="17"/>
        <v>1134754.74</v>
      </c>
      <c r="AN81" s="200"/>
      <c r="AO81" s="69">
        <f t="shared" si="18"/>
        <v>1</v>
      </c>
    </row>
    <row r="82" spans="1:41" s="69" customFormat="1" ht="15">
      <c r="A82" s="77" t="s">
        <v>305</v>
      </c>
      <c r="B82" s="69">
        <v>77</v>
      </c>
      <c r="C82" s="78" t="s">
        <v>306</v>
      </c>
      <c r="D82" s="226"/>
      <c r="E82" s="226"/>
      <c r="F82" s="226"/>
      <c r="G82" s="227"/>
      <c r="H82" s="243"/>
      <c r="I82" s="228">
        <v>182507.4</v>
      </c>
      <c r="J82" s="229"/>
      <c r="K82" s="229"/>
      <c r="L82" s="199">
        <f t="shared" si="12"/>
        <v>182507.4</v>
      </c>
      <c r="M82" s="230"/>
      <c r="N82" s="228"/>
      <c r="O82" s="229"/>
      <c r="P82" s="199">
        <f t="shared" si="13"/>
        <v>0</v>
      </c>
      <c r="Q82" s="228"/>
      <c r="R82" s="229"/>
      <c r="S82" s="229">
        <v>5969.69</v>
      </c>
      <c r="T82" s="228"/>
      <c r="U82" s="199">
        <f t="shared" si="14"/>
        <v>5969.69</v>
      </c>
      <c r="V82" s="229">
        <v>6330.12</v>
      </c>
      <c r="W82" s="227"/>
      <c r="X82" s="228"/>
      <c r="Y82" s="228"/>
      <c r="Z82" s="199">
        <f t="shared" si="15"/>
        <v>6330.12</v>
      </c>
      <c r="AA82" s="227">
        <v>0</v>
      </c>
      <c r="AB82" s="227">
        <v>0</v>
      </c>
      <c r="AC82" s="199">
        <f t="shared" si="16"/>
        <v>0</v>
      </c>
      <c r="AD82" s="228"/>
      <c r="AE82" s="228"/>
      <c r="AF82" s="228">
        <v>0</v>
      </c>
      <c r="AG82" s="228">
        <v>0</v>
      </c>
      <c r="AH82" s="228"/>
      <c r="AI82" s="228"/>
      <c r="AJ82" s="228"/>
      <c r="AK82" s="199">
        <f t="shared" si="11"/>
        <v>0</v>
      </c>
      <c r="AL82" s="85">
        <f t="shared" si="17"/>
        <v>194807.21</v>
      </c>
      <c r="AN82" s="200"/>
      <c r="AO82" s="69">
        <f t="shared" si="18"/>
        <v>1</v>
      </c>
    </row>
    <row r="83" spans="1:41" s="69" customFormat="1" ht="15">
      <c r="A83" s="77" t="s">
        <v>307</v>
      </c>
      <c r="B83" s="69">
        <v>78</v>
      </c>
      <c r="C83" s="78" t="s">
        <v>308</v>
      </c>
      <c r="D83" s="226"/>
      <c r="E83" s="226"/>
      <c r="F83" s="226"/>
      <c r="G83" s="227"/>
      <c r="H83" s="243">
        <v>205000</v>
      </c>
      <c r="I83" s="228"/>
      <c r="J83" s="229"/>
      <c r="K83" s="229"/>
      <c r="L83" s="199">
        <f t="shared" si="12"/>
        <v>205000</v>
      </c>
      <c r="M83" s="230">
        <v>6135.87</v>
      </c>
      <c r="N83" s="228"/>
      <c r="O83" s="229"/>
      <c r="P83" s="199">
        <f t="shared" si="13"/>
        <v>6135.87</v>
      </c>
      <c r="Q83" s="228">
        <v>112203.98</v>
      </c>
      <c r="R83" s="229">
        <v>41806.76</v>
      </c>
      <c r="S83" s="229">
        <v>34214.39</v>
      </c>
      <c r="T83" s="228">
        <v>4654.56</v>
      </c>
      <c r="U83" s="199">
        <f t="shared" si="14"/>
        <v>192879.69</v>
      </c>
      <c r="V83" s="229">
        <v>36280.16</v>
      </c>
      <c r="W83" s="227">
        <v>11855.61</v>
      </c>
      <c r="X83" s="228">
        <v>11856.03</v>
      </c>
      <c r="Y83" s="228"/>
      <c r="Z83" s="199">
        <f t="shared" si="15"/>
        <v>59991.8</v>
      </c>
      <c r="AA83" s="227">
        <v>27736.92</v>
      </c>
      <c r="AB83" s="227">
        <v>27736.92</v>
      </c>
      <c r="AC83" s="199">
        <f t="shared" si="16"/>
        <v>55473.84</v>
      </c>
      <c r="AD83" s="228">
        <v>174563.21</v>
      </c>
      <c r="AE83" s="228"/>
      <c r="AF83" s="228">
        <v>407314.16</v>
      </c>
      <c r="AG83" s="228">
        <v>0</v>
      </c>
      <c r="AH83" s="228"/>
      <c r="AI83" s="228"/>
      <c r="AJ83" s="228"/>
      <c r="AK83" s="199">
        <f t="shared" si="11"/>
        <v>407314.16</v>
      </c>
      <c r="AL83" s="85">
        <f t="shared" si="17"/>
        <v>1101358.5699999998</v>
      </c>
      <c r="AN83" s="200"/>
      <c r="AO83" s="69">
        <f t="shared" si="18"/>
        <v>1</v>
      </c>
    </row>
    <row r="84" spans="1:41" s="69" customFormat="1" ht="15">
      <c r="A84" s="77" t="s">
        <v>309</v>
      </c>
      <c r="B84" s="69">
        <v>79</v>
      </c>
      <c r="C84" s="78" t="s">
        <v>310</v>
      </c>
      <c r="D84" s="226"/>
      <c r="E84" s="226"/>
      <c r="F84" s="226">
        <v>36055.11</v>
      </c>
      <c r="G84" s="227"/>
      <c r="H84" s="243"/>
      <c r="I84" s="228"/>
      <c r="J84" s="229"/>
      <c r="K84" s="229"/>
      <c r="L84" s="199">
        <f t="shared" si="12"/>
        <v>36055.11</v>
      </c>
      <c r="M84" s="230"/>
      <c r="N84" s="228"/>
      <c r="O84" s="229">
        <v>103991.48999999999</v>
      </c>
      <c r="P84" s="199">
        <f t="shared" si="13"/>
        <v>103991.48999999999</v>
      </c>
      <c r="Q84" s="228">
        <v>59173.48</v>
      </c>
      <c r="R84" s="229"/>
      <c r="S84" s="229">
        <v>35931.66</v>
      </c>
      <c r="T84" s="228">
        <v>27103.05</v>
      </c>
      <c r="U84" s="199">
        <f t="shared" si="14"/>
        <v>122208.19000000002</v>
      </c>
      <c r="V84" s="229">
        <v>38101.11</v>
      </c>
      <c r="W84" s="227">
        <v>69034.13</v>
      </c>
      <c r="X84" s="228">
        <v>69036.58</v>
      </c>
      <c r="Y84" s="228"/>
      <c r="Z84" s="199">
        <f t="shared" si="15"/>
        <v>176171.82</v>
      </c>
      <c r="AA84" s="227">
        <v>161509.49</v>
      </c>
      <c r="AB84" s="227">
        <v>161509.49</v>
      </c>
      <c r="AC84" s="199">
        <f t="shared" si="16"/>
        <v>323018.98</v>
      </c>
      <c r="AD84" s="228">
        <v>100658.97</v>
      </c>
      <c r="AE84" s="228"/>
      <c r="AF84" s="228">
        <v>201714.4</v>
      </c>
      <c r="AG84" s="228">
        <v>9045.54</v>
      </c>
      <c r="AH84" s="228"/>
      <c r="AI84" s="228"/>
      <c r="AJ84" s="228"/>
      <c r="AK84" s="199">
        <f t="shared" si="11"/>
        <v>210759.94</v>
      </c>
      <c r="AL84" s="85">
        <f t="shared" si="17"/>
        <v>1072864.5</v>
      </c>
      <c r="AN84" s="200"/>
      <c r="AO84" s="69">
        <f t="shared" si="18"/>
        <v>1</v>
      </c>
    </row>
    <row r="85" spans="1:41" s="69" customFormat="1" ht="15">
      <c r="A85" s="77" t="s">
        <v>311</v>
      </c>
      <c r="B85" s="69">
        <v>80</v>
      </c>
      <c r="C85" s="78" t="s">
        <v>312</v>
      </c>
      <c r="D85" s="226">
        <v>150000</v>
      </c>
      <c r="E85" s="226"/>
      <c r="F85" s="226"/>
      <c r="G85" s="227">
        <v>44254.79</v>
      </c>
      <c r="H85" s="243"/>
      <c r="I85" s="228"/>
      <c r="J85" s="229"/>
      <c r="K85" s="229"/>
      <c r="L85" s="199">
        <f t="shared" si="12"/>
        <v>194254.79</v>
      </c>
      <c r="M85" s="230"/>
      <c r="N85" s="228"/>
      <c r="O85" s="229"/>
      <c r="P85" s="199">
        <f t="shared" si="13"/>
        <v>0</v>
      </c>
      <c r="Q85" s="228">
        <v>1346749.23</v>
      </c>
      <c r="R85" s="229">
        <v>501793.48</v>
      </c>
      <c r="S85" s="229">
        <v>533221.46</v>
      </c>
      <c r="T85" s="228">
        <v>180699.87</v>
      </c>
      <c r="U85" s="199">
        <f t="shared" si="14"/>
        <v>2562464.04</v>
      </c>
      <c r="V85" s="229">
        <v>565415.96</v>
      </c>
      <c r="W85" s="227">
        <v>460260.31</v>
      </c>
      <c r="X85" s="228">
        <v>460276.69</v>
      </c>
      <c r="Y85" s="228"/>
      <c r="Z85" s="199">
        <f t="shared" si="15"/>
        <v>1485952.96</v>
      </c>
      <c r="AA85" s="227">
        <v>1076806.65</v>
      </c>
      <c r="AB85" s="227">
        <v>1076806.65</v>
      </c>
      <c r="AC85" s="199">
        <f t="shared" si="16"/>
        <v>2153613.3</v>
      </c>
      <c r="AD85" s="228">
        <v>1130750.65</v>
      </c>
      <c r="AE85" s="228"/>
      <c r="AF85" s="228">
        <v>2729812.41</v>
      </c>
      <c r="AG85" s="228">
        <v>422291.2</v>
      </c>
      <c r="AH85" s="228"/>
      <c r="AI85" s="228"/>
      <c r="AJ85" s="228"/>
      <c r="AK85" s="199">
        <f t="shared" si="11"/>
        <v>3152103.6100000003</v>
      </c>
      <c r="AL85" s="85">
        <f t="shared" si="17"/>
        <v>10679139.349999998</v>
      </c>
      <c r="AN85" s="200"/>
      <c r="AO85" s="69">
        <f t="shared" si="18"/>
        <v>1</v>
      </c>
    </row>
    <row r="86" spans="1:41" s="69" customFormat="1" ht="15">
      <c r="A86" s="77" t="s">
        <v>313</v>
      </c>
      <c r="B86" s="69">
        <v>81</v>
      </c>
      <c r="C86" s="78" t="s">
        <v>314</v>
      </c>
      <c r="D86" s="226">
        <v>150000</v>
      </c>
      <c r="E86" s="226"/>
      <c r="F86" s="226">
        <v>29339.8</v>
      </c>
      <c r="G86" s="227"/>
      <c r="H86" s="243"/>
      <c r="I86" s="228"/>
      <c r="J86" s="229"/>
      <c r="K86" s="229"/>
      <c r="L86" s="199">
        <f t="shared" si="12"/>
        <v>179339.8</v>
      </c>
      <c r="M86" s="230">
        <v>1856.38</v>
      </c>
      <c r="N86" s="228"/>
      <c r="O86" s="229"/>
      <c r="P86" s="199">
        <f t="shared" si="13"/>
        <v>1856.38</v>
      </c>
      <c r="Q86" s="228"/>
      <c r="R86" s="229"/>
      <c r="S86" s="229">
        <v>35652.84</v>
      </c>
      <c r="T86" s="228">
        <v>12082.15</v>
      </c>
      <c r="U86" s="199">
        <f t="shared" si="14"/>
        <v>47734.99</v>
      </c>
      <c r="V86" s="229">
        <v>37805.47</v>
      </c>
      <c r="W86" s="227">
        <v>30774.43</v>
      </c>
      <c r="X86" s="228">
        <v>30775.53</v>
      </c>
      <c r="Y86" s="228"/>
      <c r="Z86" s="199">
        <f t="shared" si="15"/>
        <v>99355.43</v>
      </c>
      <c r="AA86" s="227">
        <v>71998.64</v>
      </c>
      <c r="AB86" s="227">
        <v>71998.64</v>
      </c>
      <c r="AC86" s="199">
        <f t="shared" si="16"/>
        <v>143997.28</v>
      </c>
      <c r="AD86" s="228">
        <v>296596</v>
      </c>
      <c r="AE86" s="228"/>
      <c r="AF86" s="228">
        <v>692056</v>
      </c>
      <c r="AG86" s="228">
        <v>0</v>
      </c>
      <c r="AH86" s="228"/>
      <c r="AI86" s="228"/>
      <c r="AJ86" s="228"/>
      <c r="AK86" s="199">
        <f t="shared" si="11"/>
        <v>692056</v>
      </c>
      <c r="AL86" s="85">
        <f t="shared" si="17"/>
        <v>1460935.88</v>
      </c>
      <c r="AN86" s="200"/>
      <c r="AO86" s="69">
        <f t="shared" si="18"/>
        <v>1</v>
      </c>
    </row>
    <row r="87" spans="1:41" s="69" customFormat="1" ht="15">
      <c r="A87" s="77" t="s">
        <v>315</v>
      </c>
      <c r="B87" s="69">
        <v>82</v>
      </c>
      <c r="C87" s="78" t="s">
        <v>316</v>
      </c>
      <c r="D87" s="226">
        <v>150000</v>
      </c>
      <c r="E87" s="226"/>
      <c r="F87" s="226">
        <v>287227.66</v>
      </c>
      <c r="G87" s="227"/>
      <c r="H87" s="243"/>
      <c r="I87" s="228"/>
      <c r="J87" s="229"/>
      <c r="K87" s="229"/>
      <c r="L87" s="199">
        <f t="shared" si="12"/>
        <v>437227.66</v>
      </c>
      <c r="M87" s="230">
        <v>173479.03</v>
      </c>
      <c r="N87" s="228"/>
      <c r="O87" s="229"/>
      <c r="P87" s="199">
        <f t="shared" si="13"/>
        <v>173479.03</v>
      </c>
      <c r="Q87" s="228">
        <v>7721125.79</v>
      </c>
      <c r="R87" s="229">
        <v>2876861.19</v>
      </c>
      <c r="S87" s="229">
        <v>180138.04</v>
      </c>
      <c r="T87" s="228">
        <v>256453.24</v>
      </c>
      <c r="U87" s="199">
        <f t="shared" si="14"/>
        <v>11034578.26</v>
      </c>
      <c r="V87" s="229">
        <v>191014.3</v>
      </c>
      <c r="W87" s="227">
        <v>653211.58</v>
      </c>
      <c r="X87" s="228">
        <v>653234.83</v>
      </c>
      <c r="Y87" s="228">
        <v>469947.84</v>
      </c>
      <c r="Z87" s="199">
        <f t="shared" si="15"/>
        <v>1967408.55</v>
      </c>
      <c r="AA87" s="227">
        <v>1528227.76</v>
      </c>
      <c r="AB87" s="227">
        <v>1528227.76</v>
      </c>
      <c r="AC87" s="199">
        <f t="shared" si="16"/>
        <v>3056455.52</v>
      </c>
      <c r="AD87" s="228">
        <v>3314959.97</v>
      </c>
      <c r="AE87" s="228"/>
      <c r="AF87" s="228">
        <v>13077182.22</v>
      </c>
      <c r="AG87" s="228">
        <v>2271647.87</v>
      </c>
      <c r="AH87" s="228"/>
      <c r="AI87" s="228"/>
      <c r="AJ87" s="228"/>
      <c r="AK87" s="199">
        <f t="shared" si="11"/>
        <v>15348830.09</v>
      </c>
      <c r="AL87" s="85">
        <f t="shared" si="17"/>
        <v>35332939.08</v>
      </c>
      <c r="AN87" s="200"/>
      <c r="AO87" s="69">
        <f t="shared" si="18"/>
        <v>1</v>
      </c>
    </row>
    <row r="88" spans="1:41" s="69" customFormat="1" ht="15">
      <c r="A88" s="77" t="s">
        <v>317</v>
      </c>
      <c r="B88" s="69">
        <v>83</v>
      </c>
      <c r="C88" s="78" t="s">
        <v>318</v>
      </c>
      <c r="D88" s="226"/>
      <c r="E88" s="226"/>
      <c r="F88" s="226"/>
      <c r="G88" s="227"/>
      <c r="H88" s="243"/>
      <c r="I88" s="228"/>
      <c r="J88" s="229"/>
      <c r="K88" s="229"/>
      <c r="L88" s="199">
        <f t="shared" si="12"/>
        <v>0</v>
      </c>
      <c r="M88" s="230"/>
      <c r="N88" s="228"/>
      <c r="O88" s="229"/>
      <c r="P88" s="199">
        <f t="shared" si="13"/>
        <v>0</v>
      </c>
      <c r="Q88" s="228">
        <v>79681.33</v>
      </c>
      <c r="R88" s="229">
        <v>29688.95</v>
      </c>
      <c r="S88" s="229">
        <v>25778.3</v>
      </c>
      <c r="T88" s="228"/>
      <c r="U88" s="199">
        <f t="shared" si="14"/>
        <v>135148.58</v>
      </c>
      <c r="V88" s="229">
        <v>27334.73</v>
      </c>
      <c r="W88" s="227"/>
      <c r="X88" s="228"/>
      <c r="Y88" s="228"/>
      <c r="Z88" s="199">
        <f t="shared" si="15"/>
        <v>27334.73</v>
      </c>
      <c r="AA88" s="227">
        <v>0</v>
      </c>
      <c r="AB88" s="227">
        <v>0</v>
      </c>
      <c r="AC88" s="199">
        <f t="shared" si="16"/>
        <v>0</v>
      </c>
      <c r="AD88" s="228"/>
      <c r="AE88" s="228"/>
      <c r="AF88" s="228">
        <v>0</v>
      </c>
      <c r="AG88" s="228">
        <v>0</v>
      </c>
      <c r="AH88" s="228"/>
      <c r="AI88" s="228"/>
      <c r="AJ88" s="228"/>
      <c r="AK88" s="199">
        <f t="shared" si="11"/>
        <v>0</v>
      </c>
      <c r="AL88" s="85">
        <f t="shared" si="17"/>
        <v>162483.31</v>
      </c>
      <c r="AN88" s="200"/>
      <c r="AO88" s="69">
        <f t="shared" si="18"/>
        <v>1</v>
      </c>
    </row>
    <row r="89" spans="1:41" s="69" customFormat="1" ht="15">
      <c r="A89" s="77" t="s">
        <v>319</v>
      </c>
      <c r="B89" s="69">
        <v>84</v>
      </c>
      <c r="C89" s="78" t="s">
        <v>320</v>
      </c>
      <c r="D89" s="226">
        <v>150000</v>
      </c>
      <c r="E89" s="226"/>
      <c r="F89" s="226"/>
      <c r="G89" s="227">
        <v>76751.38</v>
      </c>
      <c r="H89" s="243"/>
      <c r="I89" s="228"/>
      <c r="J89" s="229"/>
      <c r="K89" s="229"/>
      <c r="L89" s="199">
        <f t="shared" si="12"/>
        <v>226751.38</v>
      </c>
      <c r="M89" s="230"/>
      <c r="N89" s="228"/>
      <c r="O89" s="229"/>
      <c r="P89" s="199">
        <f t="shared" si="13"/>
        <v>0</v>
      </c>
      <c r="Q89" s="228">
        <v>67228.83</v>
      </c>
      <c r="R89" s="229">
        <v>25049.2</v>
      </c>
      <c r="S89" s="229">
        <v>0</v>
      </c>
      <c r="T89" s="228"/>
      <c r="U89" s="199">
        <f t="shared" si="14"/>
        <v>92278.03</v>
      </c>
      <c r="V89" s="229">
        <v>0</v>
      </c>
      <c r="W89" s="227"/>
      <c r="X89" s="228"/>
      <c r="Y89" s="228"/>
      <c r="Z89" s="199">
        <f t="shared" si="15"/>
        <v>0</v>
      </c>
      <c r="AA89" s="227">
        <v>0</v>
      </c>
      <c r="AB89" s="227">
        <v>0</v>
      </c>
      <c r="AC89" s="199">
        <f t="shared" si="16"/>
        <v>0</v>
      </c>
      <c r="AD89" s="228"/>
      <c r="AE89" s="228"/>
      <c r="AF89" s="228">
        <v>0</v>
      </c>
      <c r="AG89" s="228">
        <v>0</v>
      </c>
      <c r="AH89" s="228"/>
      <c r="AI89" s="228"/>
      <c r="AJ89" s="228"/>
      <c r="AK89" s="199">
        <f t="shared" si="11"/>
        <v>0</v>
      </c>
      <c r="AL89" s="85">
        <f t="shared" si="17"/>
        <v>319029.41000000003</v>
      </c>
      <c r="AN89" s="200"/>
      <c r="AO89" s="69">
        <f t="shared" si="18"/>
        <v>1</v>
      </c>
    </row>
    <row r="90" spans="1:41" s="69" customFormat="1" ht="15">
      <c r="A90" s="77" t="s">
        <v>321</v>
      </c>
      <c r="B90" s="69">
        <v>85</v>
      </c>
      <c r="C90" s="78" t="s">
        <v>322</v>
      </c>
      <c r="D90" s="226">
        <v>150000</v>
      </c>
      <c r="E90" s="226"/>
      <c r="F90" s="226"/>
      <c r="G90" s="227"/>
      <c r="H90" s="243"/>
      <c r="I90" s="228"/>
      <c r="J90" s="229"/>
      <c r="K90" s="229"/>
      <c r="L90" s="199">
        <f t="shared" si="12"/>
        <v>150000</v>
      </c>
      <c r="M90" s="230"/>
      <c r="N90" s="228"/>
      <c r="O90" s="229"/>
      <c r="P90" s="199">
        <f t="shared" si="13"/>
        <v>0</v>
      </c>
      <c r="Q90" s="228"/>
      <c r="R90" s="229"/>
      <c r="S90" s="229">
        <v>0</v>
      </c>
      <c r="T90" s="228"/>
      <c r="U90" s="199">
        <f t="shared" si="14"/>
        <v>0</v>
      </c>
      <c r="V90" s="229">
        <v>0</v>
      </c>
      <c r="W90" s="227"/>
      <c r="X90" s="228"/>
      <c r="Y90" s="228"/>
      <c r="Z90" s="199">
        <f t="shared" si="15"/>
        <v>0</v>
      </c>
      <c r="AA90" s="227">
        <v>0</v>
      </c>
      <c r="AB90" s="227">
        <v>0</v>
      </c>
      <c r="AC90" s="199">
        <f t="shared" si="16"/>
        <v>0</v>
      </c>
      <c r="AD90" s="228"/>
      <c r="AE90" s="228"/>
      <c r="AF90" s="228">
        <v>0</v>
      </c>
      <c r="AG90" s="228">
        <v>0</v>
      </c>
      <c r="AH90" s="228"/>
      <c r="AI90" s="228"/>
      <c r="AJ90" s="228"/>
      <c r="AK90" s="199">
        <f t="shared" si="11"/>
        <v>0</v>
      </c>
      <c r="AL90" s="85">
        <f t="shared" si="17"/>
        <v>150000</v>
      </c>
      <c r="AN90" s="200"/>
      <c r="AO90" s="69">
        <f t="shared" si="18"/>
        <v>1</v>
      </c>
    </row>
    <row r="91" spans="1:41" s="69" customFormat="1" ht="15">
      <c r="A91" s="77" t="s">
        <v>323</v>
      </c>
      <c r="B91" s="69">
        <v>86</v>
      </c>
      <c r="C91" s="78" t="s">
        <v>324</v>
      </c>
      <c r="D91" s="226"/>
      <c r="E91" s="226"/>
      <c r="F91" s="226"/>
      <c r="G91" s="227"/>
      <c r="H91" s="243"/>
      <c r="I91" s="228"/>
      <c r="J91" s="229"/>
      <c r="K91" s="229"/>
      <c r="L91" s="199">
        <f t="shared" si="12"/>
        <v>0</v>
      </c>
      <c r="M91" s="230">
        <v>19453.04</v>
      </c>
      <c r="N91" s="228"/>
      <c r="O91" s="229"/>
      <c r="P91" s="199">
        <f t="shared" si="13"/>
        <v>19453.04</v>
      </c>
      <c r="Q91" s="228"/>
      <c r="R91" s="229"/>
      <c r="S91" s="229"/>
      <c r="T91" s="228"/>
      <c r="U91" s="199">
        <f t="shared" si="14"/>
        <v>0</v>
      </c>
      <c r="V91" s="229"/>
      <c r="W91" s="227"/>
      <c r="X91" s="228"/>
      <c r="Y91" s="228"/>
      <c r="Z91" s="199">
        <f t="shared" si="15"/>
        <v>0</v>
      </c>
      <c r="AA91" s="227">
        <v>0</v>
      </c>
      <c r="AB91" s="227">
        <v>0</v>
      </c>
      <c r="AC91" s="199">
        <f t="shared" si="16"/>
        <v>0</v>
      </c>
      <c r="AD91" s="228"/>
      <c r="AE91" s="228"/>
      <c r="AF91" s="228">
        <v>0</v>
      </c>
      <c r="AG91" s="228">
        <v>0</v>
      </c>
      <c r="AH91" s="228"/>
      <c r="AI91" s="228"/>
      <c r="AJ91" s="228"/>
      <c r="AK91" s="199">
        <f t="shared" si="11"/>
        <v>0</v>
      </c>
      <c r="AL91" s="85">
        <f t="shared" si="17"/>
        <v>19453.04</v>
      </c>
      <c r="AN91" s="200"/>
      <c r="AO91" s="69">
        <f t="shared" si="18"/>
        <v>1</v>
      </c>
    </row>
    <row r="92" spans="1:41" s="69" customFormat="1" ht="15">
      <c r="A92" s="77" t="s">
        <v>325</v>
      </c>
      <c r="B92" s="69">
        <v>87</v>
      </c>
      <c r="C92" s="78" t="s">
        <v>326</v>
      </c>
      <c r="D92" s="226"/>
      <c r="E92" s="226"/>
      <c r="F92" s="226"/>
      <c r="G92" s="227"/>
      <c r="H92" s="243"/>
      <c r="I92" s="228"/>
      <c r="J92" s="229"/>
      <c r="K92" s="229"/>
      <c r="L92" s="199">
        <f t="shared" si="12"/>
        <v>0</v>
      </c>
      <c r="M92" s="230"/>
      <c r="N92" s="228"/>
      <c r="O92" s="229">
        <v>16030.12</v>
      </c>
      <c r="P92" s="199">
        <f t="shared" si="13"/>
        <v>16030.12</v>
      </c>
      <c r="Q92" s="228">
        <v>9121.49</v>
      </c>
      <c r="R92" s="229"/>
      <c r="S92" s="229">
        <v>8120.99</v>
      </c>
      <c r="T92" s="228"/>
      <c r="U92" s="199">
        <f t="shared" si="14"/>
        <v>17242.48</v>
      </c>
      <c r="V92" s="229">
        <v>8611.31</v>
      </c>
      <c r="W92" s="227"/>
      <c r="X92" s="228"/>
      <c r="Y92" s="228"/>
      <c r="Z92" s="199">
        <f t="shared" si="15"/>
        <v>8611.31</v>
      </c>
      <c r="AA92" s="227">
        <v>0</v>
      </c>
      <c r="AB92" s="227">
        <v>0</v>
      </c>
      <c r="AC92" s="199">
        <f t="shared" si="16"/>
        <v>0</v>
      </c>
      <c r="AD92" s="228">
        <v>178139.07</v>
      </c>
      <c r="AE92" s="228"/>
      <c r="AF92" s="228">
        <v>57535.07</v>
      </c>
      <c r="AG92" s="228">
        <v>0</v>
      </c>
      <c r="AH92" s="228"/>
      <c r="AI92" s="228"/>
      <c r="AJ92" s="228"/>
      <c r="AK92" s="199">
        <f t="shared" si="11"/>
        <v>57535.07</v>
      </c>
      <c r="AL92" s="85">
        <f t="shared" si="17"/>
        <v>277558.05000000005</v>
      </c>
      <c r="AN92" s="200"/>
      <c r="AO92" s="69">
        <f t="shared" si="18"/>
        <v>1</v>
      </c>
    </row>
    <row r="93" spans="1:41" s="69" customFormat="1" ht="15">
      <c r="A93" s="77" t="s">
        <v>327</v>
      </c>
      <c r="B93" s="69">
        <v>88</v>
      </c>
      <c r="C93" s="78" t="s">
        <v>328</v>
      </c>
      <c r="D93" s="226"/>
      <c r="E93" s="226"/>
      <c r="F93" s="226"/>
      <c r="G93" s="227"/>
      <c r="H93" s="243"/>
      <c r="I93" s="228"/>
      <c r="J93" s="229"/>
      <c r="K93" s="229"/>
      <c r="L93" s="199">
        <f t="shared" si="12"/>
        <v>0</v>
      </c>
      <c r="M93" s="230"/>
      <c r="N93" s="228"/>
      <c r="O93" s="229"/>
      <c r="P93" s="199">
        <f t="shared" si="13"/>
        <v>0</v>
      </c>
      <c r="Q93" s="228">
        <v>671070.76</v>
      </c>
      <c r="R93" s="229">
        <v>250038.34</v>
      </c>
      <c r="S93" s="229">
        <v>0</v>
      </c>
      <c r="T93" s="228"/>
      <c r="U93" s="199">
        <f t="shared" si="14"/>
        <v>921109.1</v>
      </c>
      <c r="V93" s="229">
        <v>0</v>
      </c>
      <c r="W93" s="227"/>
      <c r="X93" s="228"/>
      <c r="Y93" s="228"/>
      <c r="Z93" s="199">
        <f t="shared" si="15"/>
        <v>0</v>
      </c>
      <c r="AA93" s="227">
        <v>0</v>
      </c>
      <c r="AB93" s="227">
        <v>0</v>
      </c>
      <c r="AC93" s="199">
        <f t="shared" si="16"/>
        <v>0</v>
      </c>
      <c r="AD93" s="228"/>
      <c r="AE93" s="228"/>
      <c r="AF93" s="228">
        <v>0</v>
      </c>
      <c r="AG93" s="228">
        <v>0</v>
      </c>
      <c r="AH93" s="228"/>
      <c r="AI93" s="228"/>
      <c r="AJ93" s="228"/>
      <c r="AK93" s="199">
        <f t="shared" si="11"/>
        <v>0</v>
      </c>
      <c r="AL93" s="85">
        <f t="shared" si="17"/>
        <v>921109.1</v>
      </c>
      <c r="AN93" s="200"/>
      <c r="AO93" s="69">
        <f t="shared" si="18"/>
        <v>1</v>
      </c>
    </row>
    <row r="94" spans="1:41" s="69" customFormat="1" ht="15">
      <c r="A94" s="77" t="s">
        <v>329</v>
      </c>
      <c r="B94" s="69">
        <v>89</v>
      </c>
      <c r="C94" s="78" t="s">
        <v>330</v>
      </c>
      <c r="D94" s="231">
        <v>150000</v>
      </c>
      <c r="E94" s="231"/>
      <c r="F94" s="231"/>
      <c r="G94" s="232"/>
      <c r="H94" s="244"/>
      <c r="I94" s="228">
        <v>38773.51</v>
      </c>
      <c r="J94" s="229"/>
      <c r="K94" s="229"/>
      <c r="L94" s="199">
        <f t="shared" si="12"/>
        <v>188773.51</v>
      </c>
      <c r="M94" s="233"/>
      <c r="N94" s="228">
        <v>403307.56</v>
      </c>
      <c r="O94" s="229"/>
      <c r="P94" s="199">
        <f t="shared" si="13"/>
        <v>403307.56</v>
      </c>
      <c r="Q94" s="228"/>
      <c r="R94" s="229"/>
      <c r="S94" s="229">
        <v>1048767.2</v>
      </c>
      <c r="T94" s="228">
        <v>972500.41</v>
      </c>
      <c r="U94" s="199">
        <f t="shared" si="14"/>
        <v>2021267.6099999999</v>
      </c>
      <c r="V94" s="229">
        <v>0</v>
      </c>
      <c r="W94" s="227"/>
      <c r="X94" s="228"/>
      <c r="Y94" s="228">
        <v>331365.36</v>
      </c>
      <c r="Z94" s="199">
        <f t="shared" si="15"/>
        <v>331365.36</v>
      </c>
      <c r="AA94" s="227">
        <v>0</v>
      </c>
      <c r="AB94" s="227">
        <v>0</v>
      </c>
      <c r="AC94" s="199">
        <f t="shared" si="16"/>
        <v>0</v>
      </c>
      <c r="AD94" s="228">
        <v>517239.38</v>
      </c>
      <c r="AE94" s="228"/>
      <c r="AF94" s="228">
        <v>1980077.72</v>
      </c>
      <c r="AG94" s="228">
        <v>0</v>
      </c>
      <c r="AH94" s="228"/>
      <c r="AI94" s="228"/>
      <c r="AJ94" s="228"/>
      <c r="AK94" s="199">
        <f>SUM(AF94:AJ94)</f>
        <v>1980077.72</v>
      </c>
      <c r="AL94" s="85">
        <f t="shared" si="17"/>
        <v>5442031.14</v>
      </c>
      <c r="AN94" s="200"/>
      <c r="AO94" s="69">
        <f t="shared" si="18"/>
        <v>1</v>
      </c>
    </row>
    <row r="95" spans="1:41" s="69" customFormat="1" ht="15">
      <c r="A95" s="77" t="s">
        <v>331</v>
      </c>
      <c r="B95" s="69">
        <v>90</v>
      </c>
      <c r="C95" s="78" t="s">
        <v>332</v>
      </c>
      <c r="D95" s="226"/>
      <c r="E95" s="226"/>
      <c r="F95" s="226"/>
      <c r="G95" s="227"/>
      <c r="H95" s="243"/>
      <c r="I95" s="228"/>
      <c r="J95" s="229"/>
      <c r="K95" s="229"/>
      <c r="L95" s="199">
        <f t="shared" si="12"/>
        <v>0</v>
      </c>
      <c r="M95" s="230"/>
      <c r="N95" s="228"/>
      <c r="O95" s="229">
        <v>49859.39</v>
      </c>
      <c r="P95" s="199">
        <f t="shared" si="13"/>
        <v>49859.39</v>
      </c>
      <c r="Q95" s="228">
        <v>28371.11</v>
      </c>
      <c r="R95" s="229"/>
      <c r="S95" s="229">
        <v>0</v>
      </c>
      <c r="T95" s="228"/>
      <c r="U95" s="199">
        <f t="shared" si="14"/>
        <v>28371.11</v>
      </c>
      <c r="V95" s="229">
        <v>0</v>
      </c>
      <c r="W95" s="227"/>
      <c r="X95" s="228"/>
      <c r="Y95" s="228"/>
      <c r="Z95" s="199">
        <f t="shared" si="15"/>
        <v>0</v>
      </c>
      <c r="AA95" s="227">
        <v>0</v>
      </c>
      <c r="AB95" s="227">
        <v>0</v>
      </c>
      <c r="AC95" s="199">
        <f t="shared" si="16"/>
        <v>0</v>
      </c>
      <c r="AD95" s="228"/>
      <c r="AE95" s="228"/>
      <c r="AF95" s="228">
        <v>0</v>
      </c>
      <c r="AG95" s="228">
        <v>0</v>
      </c>
      <c r="AH95" s="228"/>
      <c r="AI95" s="228"/>
      <c r="AJ95" s="228"/>
      <c r="AK95" s="199">
        <f t="shared" si="11"/>
        <v>0</v>
      </c>
      <c r="AL95" s="85">
        <f t="shared" si="17"/>
        <v>78230.5</v>
      </c>
      <c r="AN95" s="200"/>
      <c r="AO95" s="69">
        <f t="shared" si="18"/>
        <v>1</v>
      </c>
    </row>
    <row r="96" spans="1:41" s="69" customFormat="1" ht="15">
      <c r="A96" s="57">
        <v>69082</v>
      </c>
      <c r="B96" s="69">
        <v>91</v>
      </c>
      <c r="C96" s="78" t="s">
        <v>411</v>
      </c>
      <c r="D96" s="214"/>
      <c r="E96" s="214"/>
      <c r="F96" s="214"/>
      <c r="G96" s="215"/>
      <c r="H96" s="242"/>
      <c r="I96" s="216"/>
      <c r="J96" s="217"/>
      <c r="K96" s="217"/>
      <c r="L96" s="199">
        <f t="shared" si="12"/>
        <v>0</v>
      </c>
      <c r="M96" s="218"/>
      <c r="N96" s="216"/>
      <c r="O96" s="217"/>
      <c r="P96" s="219"/>
      <c r="Q96" s="216"/>
      <c r="R96" s="217"/>
      <c r="S96" s="217"/>
      <c r="T96" s="216"/>
      <c r="U96" s="219"/>
      <c r="V96" s="217"/>
      <c r="W96" s="215"/>
      <c r="X96" s="216"/>
      <c r="Y96" s="216"/>
      <c r="Z96" s="199">
        <f t="shared" si="15"/>
        <v>0</v>
      </c>
      <c r="AA96" s="215">
        <v>0</v>
      </c>
      <c r="AB96" s="215">
        <v>0</v>
      </c>
      <c r="AC96" s="219">
        <f>SUM(AA96:AB96)</f>
        <v>0</v>
      </c>
      <c r="AD96" s="216">
        <v>54640.37</v>
      </c>
      <c r="AE96" s="216"/>
      <c r="AF96" s="216">
        <v>0</v>
      </c>
      <c r="AG96" s="216">
        <v>0</v>
      </c>
      <c r="AH96" s="216"/>
      <c r="AI96" s="216"/>
      <c r="AJ96" s="216"/>
      <c r="AK96" s="199">
        <f t="shared" si="11"/>
        <v>0</v>
      </c>
      <c r="AL96" s="85">
        <f t="shared" si="17"/>
        <v>54640.37</v>
      </c>
      <c r="AN96" s="200"/>
      <c r="AO96" s="69">
        <f t="shared" si="18"/>
        <v>1</v>
      </c>
    </row>
    <row r="97" spans="1:41" s="69" customFormat="1" ht="30">
      <c r="A97" s="77" t="s">
        <v>333</v>
      </c>
      <c r="B97" s="69">
        <v>92</v>
      </c>
      <c r="C97" s="78" t="s">
        <v>334</v>
      </c>
      <c r="D97" s="226"/>
      <c r="E97" s="226"/>
      <c r="F97" s="226"/>
      <c r="G97" s="227">
        <v>119204.03</v>
      </c>
      <c r="H97" s="243"/>
      <c r="I97" s="228"/>
      <c r="J97" s="229"/>
      <c r="K97" s="229"/>
      <c r="L97" s="199">
        <f t="shared" si="12"/>
        <v>119204.03</v>
      </c>
      <c r="M97" s="230">
        <v>138903.32</v>
      </c>
      <c r="N97" s="228"/>
      <c r="O97" s="229"/>
      <c r="P97" s="199">
        <f t="shared" si="13"/>
        <v>138903.32</v>
      </c>
      <c r="Q97" s="228">
        <v>264497.02</v>
      </c>
      <c r="R97" s="229">
        <v>98550.55</v>
      </c>
      <c r="S97" s="229">
        <v>50662.95</v>
      </c>
      <c r="T97" s="228"/>
      <c r="U97" s="199">
        <f t="shared" si="14"/>
        <v>413710.52</v>
      </c>
      <c r="V97" s="229">
        <v>53721.85</v>
      </c>
      <c r="W97" s="227"/>
      <c r="X97" s="228"/>
      <c r="Y97" s="228"/>
      <c r="Z97" s="199">
        <f t="shared" si="15"/>
        <v>53721.85</v>
      </c>
      <c r="AA97" s="227">
        <v>0</v>
      </c>
      <c r="AB97" s="227">
        <v>0</v>
      </c>
      <c r="AC97" s="199">
        <f t="shared" si="16"/>
        <v>0</v>
      </c>
      <c r="AD97" s="228"/>
      <c r="AE97" s="228"/>
      <c r="AF97" s="228">
        <v>0</v>
      </c>
      <c r="AG97" s="228">
        <v>0</v>
      </c>
      <c r="AH97" s="228"/>
      <c r="AI97" s="228"/>
      <c r="AJ97" s="228"/>
      <c r="AK97" s="199">
        <f t="shared" si="11"/>
        <v>0</v>
      </c>
      <c r="AL97" s="85">
        <f t="shared" si="17"/>
        <v>725539.72</v>
      </c>
      <c r="AN97" s="200"/>
      <c r="AO97" s="69">
        <f t="shared" si="18"/>
        <v>1</v>
      </c>
    </row>
    <row r="98" spans="1:41" s="69" customFormat="1" ht="15">
      <c r="A98" s="77" t="s">
        <v>335</v>
      </c>
      <c r="B98" s="69">
        <v>93</v>
      </c>
      <c r="C98" s="78" t="s">
        <v>336</v>
      </c>
      <c r="D98" s="226"/>
      <c r="E98" s="226"/>
      <c r="F98" s="226"/>
      <c r="G98" s="227"/>
      <c r="H98" s="243"/>
      <c r="I98" s="228"/>
      <c r="J98" s="229"/>
      <c r="K98" s="229"/>
      <c r="L98" s="199">
        <f t="shared" si="12"/>
        <v>0</v>
      </c>
      <c r="M98" s="230"/>
      <c r="N98" s="228"/>
      <c r="O98" s="229"/>
      <c r="P98" s="199">
        <f t="shared" si="13"/>
        <v>0</v>
      </c>
      <c r="Q98" s="228"/>
      <c r="R98" s="229"/>
      <c r="S98" s="229">
        <v>0</v>
      </c>
      <c r="T98" s="228"/>
      <c r="U98" s="199">
        <f t="shared" si="14"/>
        <v>0</v>
      </c>
      <c r="V98" s="229">
        <v>0</v>
      </c>
      <c r="W98" s="227"/>
      <c r="X98" s="228"/>
      <c r="Y98" s="228"/>
      <c r="Z98" s="199">
        <f t="shared" si="15"/>
        <v>0</v>
      </c>
      <c r="AA98" s="227">
        <v>0</v>
      </c>
      <c r="AB98" s="227">
        <v>0</v>
      </c>
      <c r="AC98" s="199">
        <f t="shared" si="16"/>
        <v>0</v>
      </c>
      <c r="AD98" s="228"/>
      <c r="AE98" s="228"/>
      <c r="AF98" s="228">
        <v>0</v>
      </c>
      <c r="AG98" s="228">
        <v>0</v>
      </c>
      <c r="AH98" s="228"/>
      <c r="AI98" s="228"/>
      <c r="AJ98" s="228"/>
      <c r="AK98" s="199">
        <f t="shared" si="11"/>
        <v>0</v>
      </c>
      <c r="AL98" s="85">
        <f t="shared" si="17"/>
        <v>0</v>
      </c>
      <c r="AN98" s="200"/>
      <c r="AO98" s="69">
        <f t="shared" si="18"/>
        <v>0</v>
      </c>
    </row>
    <row r="99" spans="1:41" s="69" customFormat="1" ht="15">
      <c r="A99" s="77" t="s">
        <v>337</v>
      </c>
      <c r="B99" s="69">
        <v>94</v>
      </c>
      <c r="C99" s="78" t="s">
        <v>338</v>
      </c>
      <c r="D99" s="226"/>
      <c r="E99" s="226"/>
      <c r="F99" s="226"/>
      <c r="G99" s="227"/>
      <c r="H99" s="243"/>
      <c r="I99" s="228"/>
      <c r="J99" s="229">
        <v>74934.14</v>
      </c>
      <c r="K99" s="229"/>
      <c r="L99" s="199">
        <f t="shared" si="12"/>
        <v>74934.14</v>
      </c>
      <c r="M99" s="230"/>
      <c r="N99" s="228"/>
      <c r="O99" s="229"/>
      <c r="P99" s="199">
        <f t="shared" si="13"/>
        <v>0</v>
      </c>
      <c r="Q99" s="228"/>
      <c r="R99" s="229"/>
      <c r="S99" s="229">
        <v>16793.88</v>
      </c>
      <c r="T99" s="228"/>
      <c r="U99" s="199">
        <f t="shared" si="14"/>
        <v>16793.88</v>
      </c>
      <c r="V99" s="229">
        <v>17807.84</v>
      </c>
      <c r="W99" s="227"/>
      <c r="X99" s="228"/>
      <c r="Y99" s="228"/>
      <c r="Z99" s="199">
        <f t="shared" si="15"/>
        <v>17807.84</v>
      </c>
      <c r="AA99" s="227">
        <v>0</v>
      </c>
      <c r="AB99" s="227">
        <v>0</v>
      </c>
      <c r="AC99" s="199">
        <f t="shared" si="16"/>
        <v>0</v>
      </c>
      <c r="AD99" s="228"/>
      <c r="AE99" s="228"/>
      <c r="AF99" s="228">
        <v>0</v>
      </c>
      <c r="AG99" s="228">
        <v>0</v>
      </c>
      <c r="AH99" s="228"/>
      <c r="AI99" s="228"/>
      <c r="AJ99" s="228"/>
      <c r="AK99" s="199">
        <f t="shared" si="11"/>
        <v>0</v>
      </c>
      <c r="AL99" s="85">
        <f t="shared" si="17"/>
        <v>109535.86</v>
      </c>
      <c r="AN99" s="200"/>
      <c r="AO99" s="69">
        <f t="shared" si="18"/>
        <v>1</v>
      </c>
    </row>
    <row r="100" spans="1:41" s="69" customFormat="1" ht="15">
      <c r="A100" s="77" t="s">
        <v>339</v>
      </c>
      <c r="B100" s="69">
        <v>95</v>
      </c>
      <c r="C100" s="78" t="s">
        <v>340</v>
      </c>
      <c r="D100" s="226"/>
      <c r="E100" s="226"/>
      <c r="F100" s="226"/>
      <c r="G100" s="227"/>
      <c r="H100" s="243"/>
      <c r="I100" s="228"/>
      <c r="J100" s="229"/>
      <c r="K100" s="229"/>
      <c r="L100" s="199">
        <f t="shared" si="12"/>
        <v>0</v>
      </c>
      <c r="M100" s="230"/>
      <c r="N100" s="228"/>
      <c r="O100" s="229"/>
      <c r="P100" s="199">
        <f t="shared" si="13"/>
        <v>0</v>
      </c>
      <c r="Q100" s="228">
        <v>141974.24</v>
      </c>
      <c r="R100" s="229">
        <v>52899.05</v>
      </c>
      <c r="S100" s="229">
        <v>10059.79</v>
      </c>
      <c r="T100" s="228">
        <v>7588.04</v>
      </c>
      <c r="U100" s="199">
        <f t="shared" si="14"/>
        <v>212521.12</v>
      </c>
      <c r="V100" s="229">
        <v>10667.17</v>
      </c>
      <c r="W100" s="227">
        <v>19327.49</v>
      </c>
      <c r="X100" s="228">
        <v>19328.18</v>
      </c>
      <c r="Y100" s="228"/>
      <c r="Z100" s="199">
        <f t="shared" si="15"/>
        <v>49322.840000000004</v>
      </c>
      <c r="AA100" s="227">
        <v>45217.82</v>
      </c>
      <c r="AB100" s="227">
        <v>45217.82</v>
      </c>
      <c r="AC100" s="199">
        <f t="shared" si="16"/>
        <v>90435.64</v>
      </c>
      <c r="AD100" s="228">
        <v>93348.97</v>
      </c>
      <c r="AE100" s="228"/>
      <c r="AF100" s="228">
        <v>217814.24</v>
      </c>
      <c r="AG100" s="228">
        <v>0</v>
      </c>
      <c r="AH100" s="228"/>
      <c r="AI100" s="228"/>
      <c r="AJ100" s="228"/>
      <c r="AK100" s="199">
        <f t="shared" si="11"/>
        <v>217814.24</v>
      </c>
      <c r="AL100" s="85">
        <f t="shared" si="17"/>
        <v>663442.81</v>
      </c>
      <c r="AN100" s="200"/>
      <c r="AO100" s="69">
        <f t="shared" si="18"/>
        <v>1</v>
      </c>
    </row>
    <row r="101" spans="1:41" s="69" customFormat="1" ht="15">
      <c r="A101" s="77" t="s">
        <v>341</v>
      </c>
      <c r="B101" s="69">
        <v>96</v>
      </c>
      <c r="C101" s="78" t="s">
        <v>342</v>
      </c>
      <c r="D101" s="226"/>
      <c r="E101" s="226"/>
      <c r="F101" s="226"/>
      <c r="G101" s="227"/>
      <c r="H101" s="243"/>
      <c r="I101" s="228"/>
      <c r="J101" s="229"/>
      <c r="K101" s="229"/>
      <c r="L101" s="199">
        <f t="shared" si="12"/>
        <v>0</v>
      </c>
      <c r="M101" s="230"/>
      <c r="N101" s="228"/>
      <c r="O101" s="229"/>
      <c r="P101" s="199">
        <f t="shared" si="13"/>
        <v>0</v>
      </c>
      <c r="Q101" s="228">
        <v>89350.45</v>
      </c>
      <c r="R101" s="229">
        <v>33291.62</v>
      </c>
      <c r="S101" s="229">
        <v>41341.73</v>
      </c>
      <c r="T101" s="228"/>
      <c r="U101" s="199">
        <f t="shared" si="14"/>
        <v>163983.80000000002</v>
      </c>
      <c r="V101" s="229">
        <v>43837.83</v>
      </c>
      <c r="W101" s="227"/>
      <c r="X101" s="228"/>
      <c r="Y101" s="228">
        <v>27217.65</v>
      </c>
      <c r="Z101" s="199">
        <f t="shared" si="15"/>
        <v>71055.48000000001</v>
      </c>
      <c r="AA101" s="227">
        <v>0</v>
      </c>
      <c r="AB101" s="227">
        <v>0</v>
      </c>
      <c r="AC101" s="199">
        <f t="shared" si="16"/>
        <v>0</v>
      </c>
      <c r="AD101" s="228">
        <v>59666.31</v>
      </c>
      <c r="AE101" s="228"/>
      <c r="AF101" s="228">
        <v>198054.43</v>
      </c>
      <c r="AG101" s="228">
        <v>0</v>
      </c>
      <c r="AH101" s="228"/>
      <c r="AI101" s="228"/>
      <c r="AJ101" s="228"/>
      <c r="AK101" s="199">
        <f t="shared" si="11"/>
        <v>198054.43</v>
      </c>
      <c r="AL101" s="85">
        <f t="shared" si="17"/>
        <v>492760.02</v>
      </c>
      <c r="AN101" s="200"/>
      <c r="AO101" s="69">
        <f t="shared" si="18"/>
        <v>1</v>
      </c>
    </row>
    <row r="102" spans="1:41" s="69" customFormat="1" ht="15">
      <c r="A102" s="77" t="s">
        <v>343</v>
      </c>
      <c r="B102" s="69">
        <v>97</v>
      </c>
      <c r="C102" s="78" t="s">
        <v>344</v>
      </c>
      <c r="D102" s="226"/>
      <c r="E102" s="226"/>
      <c r="F102" s="226"/>
      <c r="G102" s="227"/>
      <c r="H102" s="243"/>
      <c r="I102" s="228"/>
      <c r="J102" s="229"/>
      <c r="K102" s="229"/>
      <c r="L102" s="199">
        <f t="shared" si="12"/>
        <v>0</v>
      </c>
      <c r="M102" s="230"/>
      <c r="N102" s="228"/>
      <c r="O102" s="229"/>
      <c r="P102" s="199">
        <f t="shared" si="13"/>
        <v>0</v>
      </c>
      <c r="Q102" s="228"/>
      <c r="R102" s="229">
        <v>101927.09</v>
      </c>
      <c r="S102" s="229">
        <v>27398.94</v>
      </c>
      <c r="T102" s="228"/>
      <c r="U102" s="199">
        <f t="shared" si="14"/>
        <v>129326.03</v>
      </c>
      <c r="V102" s="229">
        <v>0</v>
      </c>
      <c r="W102" s="227"/>
      <c r="X102" s="228"/>
      <c r="Y102" s="228"/>
      <c r="Z102" s="199">
        <f t="shared" si="15"/>
        <v>0</v>
      </c>
      <c r="AA102" s="227">
        <v>0</v>
      </c>
      <c r="AB102" s="227">
        <v>0</v>
      </c>
      <c r="AC102" s="199">
        <f t="shared" si="16"/>
        <v>0</v>
      </c>
      <c r="AD102" s="228">
        <v>112732.71</v>
      </c>
      <c r="AE102" s="228"/>
      <c r="AF102" s="228">
        <v>185020.8</v>
      </c>
      <c r="AG102" s="228">
        <v>0</v>
      </c>
      <c r="AH102" s="228"/>
      <c r="AI102" s="228"/>
      <c r="AJ102" s="228"/>
      <c r="AK102" s="199">
        <f t="shared" si="11"/>
        <v>185020.8</v>
      </c>
      <c r="AL102" s="85">
        <f t="shared" si="17"/>
        <v>427079.54000000004</v>
      </c>
      <c r="AN102" s="200"/>
      <c r="AO102" s="69">
        <f t="shared" si="18"/>
        <v>1</v>
      </c>
    </row>
    <row r="103" spans="1:41" s="69" customFormat="1" ht="15">
      <c r="A103" s="77" t="s">
        <v>345</v>
      </c>
      <c r="B103" s="69">
        <v>98</v>
      </c>
      <c r="C103" s="78" t="s">
        <v>346</v>
      </c>
      <c r="D103" s="226"/>
      <c r="E103" s="226"/>
      <c r="F103" s="226"/>
      <c r="G103" s="227"/>
      <c r="H103" s="243"/>
      <c r="I103" s="228"/>
      <c r="J103" s="229"/>
      <c r="K103" s="229"/>
      <c r="L103" s="199">
        <f t="shared" si="12"/>
        <v>0</v>
      </c>
      <c r="M103" s="230"/>
      <c r="N103" s="228"/>
      <c r="O103" s="229"/>
      <c r="P103" s="199">
        <f t="shared" si="13"/>
        <v>0</v>
      </c>
      <c r="Q103" s="228"/>
      <c r="R103" s="229"/>
      <c r="S103" s="229">
        <v>0</v>
      </c>
      <c r="T103" s="228"/>
      <c r="U103" s="199">
        <f t="shared" si="14"/>
        <v>0</v>
      </c>
      <c r="V103" s="229">
        <v>0</v>
      </c>
      <c r="W103" s="227"/>
      <c r="X103" s="228"/>
      <c r="Y103" s="228"/>
      <c r="Z103" s="199">
        <f t="shared" si="15"/>
        <v>0</v>
      </c>
      <c r="AA103" s="227">
        <v>0</v>
      </c>
      <c r="AB103" s="227">
        <v>0</v>
      </c>
      <c r="AC103" s="199">
        <f t="shared" si="16"/>
        <v>0</v>
      </c>
      <c r="AD103" s="228"/>
      <c r="AE103" s="228"/>
      <c r="AF103" s="228">
        <v>0</v>
      </c>
      <c r="AG103" s="228">
        <v>0</v>
      </c>
      <c r="AH103" s="228"/>
      <c r="AI103" s="228"/>
      <c r="AJ103" s="228"/>
      <c r="AK103" s="199">
        <f t="shared" si="11"/>
        <v>0</v>
      </c>
      <c r="AL103" s="85">
        <f t="shared" si="17"/>
        <v>0</v>
      </c>
      <c r="AN103" s="200"/>
      <c r="AO103" s="69">
        <f t="shared" si="18"/>
        <v>0</v>
      </c>
    </row>
    <row r="104" spans="1:41" s="69" customFormat="1" ht="15">
      <c r="A104" s="77" t="s">
        <v>347</v>
      </c>
      <c r="B104" s="69">
        <v>99</v>
      </c>
      <c r="C104" s="78" t="s">
        <v>348</v>
      </c>
      <c r="D104" s="226">
        <v>150000</v>
      </c>
      <c r="E104" s="226"/>
      <c r="F104" s="226"/>
      <c r="G104" s="227"/>
      <c r="H104" s="243"/>
      <c r="I104" s="228"/>
      <c r="J104" s="229"/>
      <c r="K104" s="229"/>
      <c r="L104" s="199">
        <f t="shared" si="12"/>
        <v>150000</v>
      </c>
      <c r="M104" s="230">
        <v>40288.35</v>
      </c>
      <c r="N104" s="228"/>
      <c r="O104" s="229"/>
      <c r="P104" s="199">
        <f t="shared" si="13"/>
        <v>40288.35</v>
      </c>
      <c r="Q104" s="228">
        <v>148609.11</v>
      </c>
      <c r="R104" s="229">
        <v>55371.17</v>
      </c>
      <c r="S104" s="229">
        <v>31928.59</v>
      </c>
      <c r="T104" s="228"/>
      <c r="U104" s="199">
        <f aca="true" t="shared" si="19" ref="U104:U119">SUM(Q104:T104)</f>
        <v>235908.86999999997</v>
      </c>
      <c r="V104" s="229">
        <v>33856.36</v>
      </c>
      <c r="W104" s="227"/>
      <c r="X104" s="228"/>
      <c r="Y104" s="228"/>
      <c r="Z104" s="199">
        <f t="shared" si="15"/>
        <v>33856.36</v>
      </c>
      <c r="AA104" s="227">
        <v>0</v>
      </c>
      <c r="AB104" s="227">
        <v>0</v>
      </c>
      <c r="AC104" s="199">
        <f t="shared" si="16"/>
        <v>0</v>
      </c>
      <c r="AD104" s="228">
        <v>55054.97</v>
      </c>
      <c r="AE104" s="228"/>
      <c r="AF104" s="228">
        <v>128461.6</v>
      </c>
      <c r="AG104" s="228">
        <v>0</v>
      </c>
      <c r="AH104" s="228"/>
      <c r="AI104" s="228"/>
      <c r="AJ104" s="228"/>
      <c r="AK104" s="199">
        <f t="shared" si="11"/>
        <v>128461.6</v>
      </c>
      <c r="AL104" s="85">
        <f t="shared" si="17"/>
        <v>643570.1499999999</v>
      </c>
      <c r="AN104" s="200"/>
      <c r="AO104" s="69">
        <f t="shared" si="18"/>
        <v>1</v>
      </c>
    </row>
    <row r="105" spans="1:41" s="69" customFormat="1" ht="15">
      <c r="A105" s="77" t="s">
        <v>349</v>
      </c>
      <c r="B105" s="69">
        <v>100</v>
      </c>
      <c r="C105" s="78" t="s">
        <v>350</v>
      </c>
      <c r="D105" s="226">
        <v>150000</v>
      </c>
      <c r="E105" s="226"/>
      <c r="F105" s="226">
        <v>668724.31</v>
      </c>
      <c r="G105" s="227">
        <v>786948.02</v>
      </c>
      <c r="H105" s="243"/>
      <c r="I105" s="228"/>
      <c r="J105" s="229"/>
      <c r="K105" s="229"/>
      <c r="L105" s="199">
        <f t="shared" si="12"/>
        <v>1605672.33</v>
      </c>
      <c r="M105" s="230">
        <v>307583.7</v>
      </c>
      <c r="N105" s="228"/>
      <c r="O105" s="229"/>
      <c r="P105" s="199">
        <f t="shared" si="13"/>
        <v>307583.7</v>
      </c>
      <c r="Q105" s="228">
        <v>1700204.72</v>
      </c>
      <c r="R105" s="229">
        <v>633489.61</v>
      </c>
      <c r="S105" s="229">
        <v>525667.65</v>
      </c>
      <c r="T105" s="228">
        <v>396508.22</v>
      </c>
      <c r="U105" s="199">
        <f t="shared" si="19"/>
        <v>3255870.2</v>
      </c>
      <c r="V105" s="229">
        <v>557406.07</v>
      </c>
      <c r="W105" s="227">
        <v>1009945.36</v>
      </c>
      <c r="X105" s="228">
        <v>1009981.3</v>
      </c>
      <c r="Y105" s="228"/>
      <c r="Z105" s="199">
        <f t="shared" si="15"/>
        <v>2577332.73</v>
      </c>
      <c r="AA105" s="227">
        <v>2362827.88</v>
      </c>
      <c r="AB105" s="227">
        <v>2362827.88</v>
      </c>
      <c r="AC105" s="199">
        <f t="shared" si="16"/>
        <v>4725655.76</v>
      </c>
      <c r="AD105" s="228">
        <v>2341482.37</v>
      </c>
      <c r="AE105" s="228"/>
      <c r="AF105" s="228">
        <v>5883136.7</v>
      </c>
      <c r="AG105" s="228">
        <v>179861.94</v>
      </c>
      <c r="AH105" s="228"/>
      <c r="AI105" s="228"/>
      <c r="AJ105" s="228"/>
      <c r="AK105" s="199">
        <f t="shared" si="11"/>
        <v>6062998.640000001</v>
      </c>
      <c r="AL105" s="85">
        <f t="shared" si="17"/>
        <v>20876595.730000004</v>
      </c>
      <c r="AN105" s="200"/>
      <c r="AO105" s="69">
        <f t="shared" si="18"/>
        <v>1</v>
      </c>
    </row>
    <row r="106" spans="1:41" s="69" customFormat="1" ht="15">
      <c r="A106" s="77" t="s">
        <v>351</v>
      </c>
      <c r="B106" s="69">
        <v>101</v>
      </c>
      <c r="C106" s="78" t="s">
        <v>352</v>
      </c>
      <c r="D106" s="226">
        <v>150000</v>
      </c>
      <c r="E106" s="226"/>
      <c r="F106" s="226"/>
      <c r="G106" s="227"/>
      <c r="H106" s="243"/>
      <c r="I106" s="228"/>
      <c r="J106" s="229"/>
      <c r="K106" s="229"/>
      <c r="L106" s="199">
        <f t="shared" si="12"/>
        <v>150000</v>
      </c>
      <c r="M106" s="230">
        <v>1318607.01</v>
      </c>
      <c r="N106" s="228"/>
      <c r="O106" s="229"/>
      <c r="P106" s="199">
        <f t="shared" si="13"/>
        <v>1318607.01</v>
      </c>
      <c r="Q106" s="228">
        <v>2657343.11</v>
      </c>
      <c r="R106" s="229"/>
      <c r="S106" s="229">
        <v>48537.39</v>
      </c>
      <c r="T106" s="228">
        <v>69100.18</v>
      </c>
      <c r="U106" s="199">
        <f t="shared" si="19"/>
        <v>2774980.68</v>
      </c>
      <c r="V106" s="229">
        <v>51467.95</v>
      </c>
      <c r="W106" s="227">
        <v>176004.95</v>
      </c>
      <c r="X106" s="228">
        <v>176011.21</v>
      </c>
      <c r="Y106" s="228">
        <v>562299.27</v>
      </c>
      <c r="Z106" s="199">
        <f t="shared" si="15"/>
        <v>965783.38</v>
      </c>
      <c r="AA106" s="227">
        <v>411774.16</v>
      </c>
      <c r="AB106" s="227">
        <v>411774.16</v>
      </c>
      <c r="AC106" s="199">
        <f t="shared" si="16"/>
        <v>823548.32</v>
      </c>
      <c r="AD106" s="228">
        <v>1658294.25</v>
      </c>
      <c r="AE106" s="228"/>
      <c r="AF106" s="228">
        <v>6101776.25</v>
      </c>
      <c r="AG106" s="228">
        <v>394453.45</v>
      </c>
      <c r="AH106" s="228"/>
      <c r="AI106" s="228"/>
      <c r="AJ106" s="228"/>
      <c r="AK106" s="199">
        <f t="shared" si="11"/>
        <v>6496229.7</v>
      </c>
      <c r="AL106" s="85">
        <f t="shared" si="17"/>
        <v>14187443.34</v>
      </c>
      <c r="AN106" s="200"/>
      <c r="AO106" s="69">
        <f t="shared" si="18"/>
        <v>1</v>
      </c>
    </row>
    <row r="107" spans="1:41" s="69" customFormat="1" ht="15">
      <c r="A107" s="77" t="s">
        <v>353</v>
      </c>
      <c r="B107" s="69">
        <v>102</v>
      </c>
      <c r="C107" s="78" t="s">
        <v>354</v>
      </c>
      <c r="D107" s="226">
        <v>28284</v>
      </c>
      <c r="E107" s="226"/>
      <c r="F107" s="226"/>
      <c r="G107" s="227"/>
      <c r="H107" s="243"/>
      <c r="I107" s="228"/>
      <c r="J107" s="229"/>
      <c r="K107" s="229"/>
      <c r="L107" s="199">
        <f t="shared" si="12"/>
        <v>28284</v>
      </c>
      <c r="M107" s="230">
        <v>252801.39</v>
      </c>
      <c r="N107" s="228"/>
      <c r="O107" s="229"/>
      <c r="P107" s="199">
        <f t="shared" si="13"/>
        <v>252801.39</v>
      </c>
      <c r="Q107" s="228">
        <v>117678.44</v>
      </c>
      <c r="R107" s="229">
        <v>43846.53</v>
      </c>
      <c r="S107" s="229">
        <v>193296.42</v>
      </c>
      <c r="T107" s="228">
        <v>61040.49</v>
      </c>
      <c r="U107" s="199">
        <f t="shared" si="19"/>
        <v>415861.88</v>
      </c>
      <c r="V107" s="229">
        <v>204967.15</v>
      </c>
      <c r="W107" s="227">
        <v>155476.11</v>
      </c>
      <c r="X107" s="228">
        <v>155481.65</v>
      </c>
      <c r="Y107" s="228"/>
      <c r="Z107" s="199">
        <f t="shared" si="15"/>
        <v>515924.91000000003</v>
      </c>
      <c r="AA107" s="227">
        <v>363745.71</v>
      </c>
      <c r="AB107" s="227">
        <v>363745.71</v>
      </c>
      <c r="AC107" s="199">
        <f t="shared" si="16"/>
        <v>727491.42</v>
      </c>
      <c r="AD107" s="228">
        <v>1307155.53</v>
      </c>
      <c r="AE107" s="228"/>
      <c r="AF107" s="228">
        <v>3572878.53</v>
      </c>
      <c r="AG107" s="228">
        <v>224078.12</v>
      </c>
      <c r="AH107" s="228"/>
      <c r="AI107" s="228"/>
      <c r="AJ107" s="228"/>
      <c r="AK107" s="199">
        <f t="shared" si="11"/>
        <v>3796956.65</v>
      </c>
      <c r="AL107" s="85">
        <f t="shared" si="17"/>
        <v>7044475.779999999</v>
      </c>
      <c r="AN107" s="200"/>
      <c r="AO107" s="69">
        <f t="shared" si="18"/>
        <v>1</v>
      </c>
    </row>
    <row r="108" spans="1:41" s="69" customFormat="1" ht="15">
      <c r="A108" s="77"/>
      <c r="B108" s="69">
        <v>103</v>
      </c>
      <c r="C108" s="78" t="s">
        <v>434</v>
      </c>
      <c r="D108" s="214"/>
      <c r="E108" s="214"/>
      <c r="F108" s="214"/>
      <c r="G108" s="215"/>
      <c r="H108" s="242"/>
      <c r="I108" s="216"/>
      <c r="J108" s="217"/>
      <c r="K108" s="217"/>
      <c r="L108" s="199">
        <f t="shared" si="12"/>
        <v>0</v>
      </c>
      <c r="M108" s="218"/>
      <c r="N108" s="216"/>
      <c r="O108" s="217"/>
      <c r="P108" s="219"/>
      <c r="Q108" s="216"/>
      <c r="R108" s="217"/>
      <c r="S108" s="217"/>
      <c r="T108" s="216"/>
      <c r="U108" s="219"/>
      <c r="V108" s="217"/>
      <c r="W108" s="215"/>
      <c r="X108" s="216"/>
      <c r="Y108" s="216"/>
      <c r="Z108" s="199">
        <f>SUM(V108:Y108)</f>
        <v>0</v>
      </c>
      <c r="AA108" s="215"/>
      <c r="AB108" s="215"/>
      <c r="AC108" s="219"/>
      <c r="AD108" s="216">
        <v>53974.02</v>
      </c>
      <c r="AE108" s="216"/>
      <c r="AF108" s="216">
        <v>0</v>
      </c>
      <c r="AG108" s="216">
        <v>0</v>
      </c>
      <c r="AH108" s="216"/>
      <c r="AI108" s="216"/>
      <c r="AJ108" s="216"/>
      <c r="AK108" s="199">
        <f t="shared" si="11"/>
        <v>0</v>
      </c>
      <c r="AL108" s="85">
        <f t="shared" si="17"/>
        <v>53974.02</v>
      </c>
      <c r="AN108" s="200"/>
      <c r="AO108" s="69">
        <f t="shared" si="18"/>
        <v>1</v>
      </c>
    </row>
    <row r="109" spans="1:41" s="69" customFormat="1" ht="15">
      <c r="A109" s="77" t="s">
        <v>355</v>
      </c>
      <c r="B109" s="69">
        <v>104</v>
      </c>
      <c r="C109" s="78" t="s">
        <v>356</v>
      </c>
      <c r="D109" s="226"/>
      <c r="E109" s="226"/>
      <c r="F109" s="226"/>
      <c r="G109" s="227"/>
      <c r="H109" s="243"/>
      <c r="I109" s="228"/>
      <c r="J109" s="229"/>
      <c r="K109" s="229"/>
      <c r="L109" s="199">
        <f>SUM(D109:K109)</f>
        <v>0</v>
      </c>
      <c r="M109" s="230"/>
      <c r="N109" s="228"/>
      <c r="O109" s="229"/>
      <c r="P109" s="199">
        <f t="shared" si="13"/>
        <v>0</v>
      </c>
      <c r="Q109" s="228"/>
      <c r="R109" s="229"/>
      <c r="S109" s="229">
        <v>0</v>
      </c>
      <c r="T109" s="228"/>
      <c r="U109" s="199">
        <f t="shared" si="19"/>
        <v>0</v>
      </c>
      <c r="V109" s="229">
        <v>0</v>
      </c>
      <c r="W109" s="227"/>
      <c r="X109" s="228"/>
      <c r="Y109" s="228"/>
      <c r="Z109" s="199">
        <f aca="true" t="shared" si="20" ref="Z109:Z119">SUM(V109:Y109)</f>
        <v>0</v>
      </c>
      <c r="AA109" s="227">
        <v>0</v>
      </c>
      <c r="AB109" s="227">
        <v>0</v>
      </c>
      <c r="AC109" s="199">
        <f t="shared" si="16"/>
        <v>0</v>
      </c>
      <c r="AD109" s="228"/>
      <c r="AE109" s="228"/>
      <c r="AF109" s="228">
        <v>132749.36</v>
      </c>
      <c r="AG109" s="228">
        <v>56892.58</v>
      </c>
      <c r="AH109" s="228"/>
      <c r="AI109" s="228"/>
      <c r="AJ109" s="228"/>
      <c r="AK109" s="199">
        <f t="shared" si="11"/>
        <v>189641.94</v>
      </c>
      <c r="AL109" s="85">
        <f t="shared" si="17"/>
        <v>189641.94</v>
      </c>
      <c r="AN109" s="200"/>
      <c r="AO109" s="69">
        <f t="shared" si="18"/>
        <v>1</v>
      </c>
    </row>
    <row r="110" spans="1:41" s="69" customFormat="1" ht="15">
      <c r="A110" s="77" t="s">
        <v>357</v>
      </c>
      <c r="B110" s="69">
        <v>105</v>
      </c>
      <c r="C110" s="78" t="s">
        <v>358</v>
      </c>
      <c r="D110" s="226">
        <v>150000</v>
      </c>
      <c r="E110" s="226"/>
      <c r="F110" s="226"/>
      <c r="G110" s="227">
        <v>320327.78</v>
      </c>
      <c r="H110" s="243"/>
      <c r="I110" s="228"/>
      <c r="J110" s="229"/>
      <c r="K110" s="229"/>
      <c r="L110" s="199">
        <f t="shared" si="12"/>
        <v>470327.78</v>
      </c>
      <c r="M110" s="230">
        <v>155323.19</v>
      </c>
      <c r="N110" s="228"/>
      <c r="O110" s="229"/>
      <c r="P110" s="199">
        <f t="shared" si="13"/>
        <v>155323.19</v>
      </c>
      <c r="Q110" s="228">
        <v>115742.63</v>
      </c>
      <c r="R110" s="229">
        <v>43125.25</v>
      </c>
      <c r="S110" s="229">
        <v>74197.52</v>
      </c>
      <c r="T110" s="228">
        <v>4821.51</v>
      </c>
      <c r="U110" s="199">
        <f t="shared" si="19"/>
        <v>237886.91000000003</v>
      </c>
      <c r="V110" s="229">
        <v>78677.37</v>
      </c>
      <c r="W110" s="227">
        <v>12280.86</v>
      </c>
      <c r="X110" s="228">
        <v>12281.29</v>
      </c>
      <c r="Y110" s="228">
        <v>12147.7</v>
      </c>
      <c r="Z110" s="199">
        <f t="shared" si="20"/>
        <v>115387.21999999999</v>
      </c>
      <c r="AA110" s="227">
        <v>28731.8</v>
      </c>
      <c r="AB110" s="227">
        <v>28731.8</v>
      </c>
      <c r="AC110" s="199">
        <f t="shared" si="16"/>
        <v>57463.6</v>
      </c>
      <c r="AD110" s="228">
        <v>720088.54</v>
      </c>
      <c r="AE110" s="228"/>
      <c r="AF110" s="228">
        <v>1727337.37</v>
      </c>
      <c r="AG110" s="228">
        <v>8051.19</v>
      </c>
      <c r="AH110" s="228"/>
      <c r="AI110" s="228"/>
      <c r="AJ110" s="228"/>
      <c r="AK110" s="199">
        <f>SUM(AF110:AJ110)</f>
        <v>1735388.56</v>
      </c>
      <c r="AL110" s="85">
        <f t="shared" si="17"/>
        <v>3491865.8000000007</v>
      </c>
      <c r="AN110" s="200"/>
      <c r="AO110" s="69">
        <f t="shared" si="18"/>
        <v>1</v>
      </c>
    </row>
    <row r="111" spans="1:40" s="69" customFormat="1" ht="15">
      <c r="A111" s="77"/>
      <c r="C111" s="78" t="s">
        <v>439</v>
      </c>
      <c r="D111" s="226"/>
      <c r="E111" s="226"/>
      <c r="F111" s="226"/>
      <c r="G111" s="227"/>
      <c r="H111" s="243"/>
      <c r="I111" s="228"/>
      <c r="J111" s="229"/>
      <c r="K111" s="229"/>
      <c r="L111" s="199"/>
      <c r="M111" s="230"/>
      <c r="N111" s="228"/>
      <c r="O111" s="229"/>
      <c r="P111" s="199"/>
      <c r="Q111" s="228"/>
      <c r="R111" s="229"/>
      <c r="S111" s="229"/>
      <c r="T111" s="228"/>
      <c r="U111" s="199"/>
      <c r="V111" s="229"/>
      <c r="W111" s="227"/>
      <c r="X111" s="228"/>
      <c r="Y111" s="228"/>
      <c r="Z111" s="199"/>
      <c r="AA111" s="227"/>
      <c r="AB111" s="227"/>
      <c r="AC111" s="199"/>
      <c r="AD111" s="228"/>
      <c r="AE111" s="228"/>
      <c r="AF111" s="228"/>
      <c r="AG111" s="228">
        <v>10000</v>
      </c>
      <c r="AH111" s="228"/>
      <c r="AI111" s="228"/>
      <c r="AJ111" s="228"/>
      <c r="AK111" s="199">
        <f>SUM(AF111:AJ111)</f>
        <v>10000</v>
      </c>
      <c r="AL111" s="85">
        <f>+AD111+AK111+AC111+Z111+U111+P111+L111</f>
        <v>10000</v>
      </c>
      <c r="AN111" s="200"/>
    </row>
    <row r="112" spans="1:41" s="69" customFormat="1" ht="15">
      <c r="A112" s="77" t="s">
        <v>359</v>
      </c>
      <c r="B112" s="69">
        <v>106</v>
      </c>
      <c r="C112" s="78" t="s">
        <v>360</v>
      </c>
      <c r="D112" s="226"/>
      <c r="E112" s="226"/>
      <c r="F112" s="226"/>
      <c r="G112" s="227"/>
      <c r="H112" s="243"/>
      <c r="I112" s="228"/>
      <c r="J112" s="229"/>
      <c r="K112" s="229"/>
      <c r="L112" s="199">
        <f t="shared" si="12"/>
        <v>0</v>
      </c>
      <c r="M112" s="230"/>
      <c r="N112" s="228"/>
      <c r="O112" s="229"/>
      <c r="P112" s="199">
        <f t="shared" si="13"/>
        <v>0</v>
      </c>
      <c r="Q112" s="228">
        <v>77073.35</v>
      </c>
      <c r="R112" s="229">
        <v>28717.23</v>
      </c>
      <c r="S112" s="229"/>
      <c r="T112" s="228"/>
      <c r="U112" s="199">
        <f t="shared" si="19"/>
        <v>105790.58</v>
      </c>
      <c r="V112" s="229">
        <v>0</v>
      </c>
      <c r="W112" s="227"/>
      <c r="X112" s="228"/>
      <c r="Y112" s="228"/>
      <c r="Z112" s="199">
        <f t="shared" si="20"/>
        <v>0</v>
      </c>
      <c r="AA112" s="227">
        <v>0</v>
      </c>
      <c r="AB112" s="227">
        <v>0</v>
      </c>
      <c r="AC112" s="199">
        <f t="shared" si="16"/>
        <v>0</v>
      </c>
      <c r="AD112" s="228">
        <v>106731.51</v>
      </c>
      <c r="AE112" s="228"/>
      <c r="AF112" s="228">
        <v>0</v>
      </c>
      <c r="AG112" s="228">
        <v>0</v>
      </c>
      <c r="AH112" s="228"/>
      <c r="AI112" s="228"/>
      <c r="AJ112" s="228"/>
      <c r="AK112" s="199">
        <f t="shared" si="11"/>
        <v>0</v>
      </c>
      <c r="AL112" s="85">
        <f t="shared" si="17"/>
        <v>212522.09</v>
      </c>
      <c r="AN112" s="200"/>
      <c r="AO112" s="69">
        <f t="shared" si="18"/>
        <v>1</v>
      </c>
    </row>
    <row r="113" spans="1:41" s="69" customFormat="1" ht="15">
      <c r="A113" s="77" t="s">
        <v>361</v>
      </c>
      <c r="B113" s="69">
        <v>107</v>
      </c>
      <c r="C113" s="78" t="s">
        <v>362</v>
      </c>
      <c r="D113" s="226"/>
      <c r="E113" s="226"/>
      <c r="F113" s="226"/>
      <c r="G113" s="227"/>
      <c r="H113" s="243"/>
      <c r="I113" s="228"/>
      <c r="J113" s="229"/>
      <c r="K113" s="229"/>
      <c r="L113" s="199">
        <f t="shared" si="12"/>
        <v>0</v>
      </c>
      <c r="M113" s="230"/>
      <c r="N113" s="228"/>
      <c r="O113" s="229"/>
      <c r="P113" s="199">
        <f t="shared" si="13"/>
        <v>0</v>
      </c>
      <c r="Q113" s="228">
        <v>88535.07</v>
      </c>
      <c r="R113" s="229">
        <v>32987.82</v>
      </c>
      <c r="S113" s="229">
        <v>41987.68</v>
      </c>
      <c r="T113" s="228"/>
      <c r="U113" s="199">
        <f t="shared" si="19"/>
        <v>163510.57</v>
      </c>
      <c r="V113" s="229">
        <v>44522.79</v>
      </c>
      <c r="W113" s="227"/>
      <c r="X113" s="228"/>
      <c r="Y113" s="228">
        <v>22592.17</v>
      </c>
      <c r="Z113" s="199">
        <f t="shared" si="20"/>
        <v>67114.95999999999</v>
      </c>
      <c r="AA113" s="227">
        <v>0</v>
      </c>
      <c r="AB113" s="227">
        <v>0</v>
      </c>
      <c r="AC113" s="199">
        <f t="shared" si="16"/>
        <v>0</v>
      </c>
      <c r="AD113" s="228">
        <v>102114.09</v>
      </c>
      <c r="AE113" s="228"/>
      <c r="AF113" s="228">
        <v>133194.49</v>
      </c>
      <c r="AG113" s="228">
        <v>6119.53</v>
      </c>
      <c r="AH113" s="228"/>
      <c r="AI113" s="228"/>
      <c r="AJ113" s="228"/>
      <c r="AK113" s="199">
        <f>SUM(AF113:AJ113)</f>
        <v>139314.02</v>
      </c>
      <c r="AL113" s="85">
        <f t="shared" si="17"/>
        <v>472053.63999999996</v>
      </c>
      <c r="AN113" s="200"/>
      <c r="AO113" s="69">
        <f t="shared" si="18"/>
        <v>1</v>
      </c>
    </row>
    <row r="114" spans="1:41" s="69" customFormat="1" ht="15">
      <c r="A114" s="77" t="s">
        <v>363</v>
      </c>
      <c r="B114" s="69">
        <v>108</v>
      </c>
      <c r="C114" s="78" t="s">
        <v>364</v>
      </c>
      <c r="D114" s="226">
        <v>150000</v>
      </c>
      <c r="E114" s="226"/>
      <c r="F114" s="226"/>
      <c r="G114" s="227"/>
      <c r="H114" s="243"/>
      <c r="I114" s="228"/>
      <c r="J114" s="229"/>
      <c r="K114" s="229"/>
      <c r="L114" s="199">
        <f t="shared" si="12"/>
        <v>150000</v>
      </c>
      <c r="M114" s="230"/>
      <c r="N114" s="228"/>
      <c r="O114" s="229"/>
      <c r="P114" s="199">
        <f t="shared" si="13"/>
        <v>0</v>
      </c>
      <c r="Q114" s="228">
        <v>121101.99</v>
      </c>
      <c r="R114" s="229">
        <v>45122.13</v>
      </c>
      <c r="S114" s="229">
        <v>46397.3</v>
      </c>
      <c r="T114" s="228"/>
      <c r="U114" s="199">
        <f t="shared" si="19"/>
        <v>212621.41999999998</v>
      </c>
      <c r="V114" s="229">
        <v>49198.64</v>
      </c>
      <c r="W114" s="227"/>
      <c r="X114" s="228"/>
      <c r="Y114" s="228"/>
      <c r="Z114" s="199">
        <f t="shared" si="20"/>
        <v>49198.64</v>
      </c>
      <c r="AA114" s="227">
        <v>0</v>
      </c>
      <c r="AB114" s="227">
        <v>0</v>
      </c>
      <c r="AC114" s="199">
        <f t="shared" si="16"/>
        <v>0</v>
      </c>
      <c r="AD114" s="228"/>
      <c r="AE114" s="228"/>
      <c r="AF114" s="228">
        <v>0</v>
      </c>
      <c r="AG114" s="228">
        <v>0</v>
      </c>
      <c r="AH114" s="228"/>
      <c r="AI114" s="228"/>
      <c r="AJ114" s="228"/>
      <c r="AK114" s="199">
        <f t="shared" si="11"/>
        <v>0</v>
      </c>
      <c r="AL114" s="85">
        <f t="shared" si="17"/>
        <v>411820.06</v>
      </c>
      <c r="AN114" s="200"/>
      <c r="AO114" s="69">
        <f t="shared" si="18"/>
        <v>1</v>
      </c>
    </row>
    <row r="115" spans="1:41" s="69" customFormat="1" ht="15">
      <c r="A115" s="77" t="s">
        <v>365</v>
      </c>
      <c r="B115" s="69">
        <v>109</v>
      </c>
      <c r="C115" s="78" t="s">
        <v>366</v>
      </c>
      <c r="D115" s="226"/>
      <c r="E115" s="226"/>
      <c r="F115" s="226"/>
      <c r="G115" s="227"/>
      <c r="H115" s="243"/>
      <c r="I115" s="228">
        <v>51678.13</v>
      </c>
      <c r="J115" s="229"/>
      <c r="K115" s="229"/>
      <c r="L115" s="199">
        <f t="shared" si="12"/>
        <v>51678.13</v>
      </c>
      <c r="M115" s="230"/>
      <c r="N115" s="228"/>
      <c r="O115" s="229">
        <v>56199.55</v>
      </c>
      <c r="P115" s="199">
        <f t="shared" si="13"/>
        <v>56199.55</v>
      </c>
      <c r="Q115" s="228">
        <v>43359.24</v>
      </c>
      <c r="R115" s="229"/>
      <c r="S115" s="229">
        <v>15670.62</v>
      </c>
      <c r="T115" s="228"/>
      <c r="U115" s="199">
        <f t="shared" si="19"/>
        <v>59029.86</v>
      </c>
      <c r="V115" s="229">
        <v>16616.78</v>
      </c>
      <c r="W115" s="227"/>
      <c r="X115" s="228"/>
      <c r="Y115" s="228">
        <v>42065.47</v>
      </c>
      <c r="Z115" s="199">
        <f t="shared" si="20"/>
        <v>58682.25</v>
      </c>
      <c r="AA115" s="227">
        <v>0</v>
      </c>
      <c r="AB115" s="227">
        <v>0</v>
      </c>
      <c r="AC115" s="199">
        <f t="shared" si="16"/>
        <v>0</v>
      </c>
      <c r="AD115" s="228"/>
      <c r="AE115" s="228"/>
      <c r="AF115" s="228">
        <v>98152.78</v>
      </c>
      <c r="AG115" s="228">
        <v>0</v>
      </c>
      <c r="AH115" s="228"/>
      <c r="AI115" s="228"/>
      <c r="AJ115" s="228"/>
      <c r="AK115" s="199">
        <f t="shared" si="11"/>
        <v>98152.78</v>
      </c>
      <c r="AL115" s="85">
        <f t="shared" si="17"/>
        <v>323742.57</v>
      </c>
      <c r="AN115" s="200"/>
      <c r="AO115" s="69">
        <f t="shared" si="18"/>
        <v>1</v>
      </c>
    </row>
    <row r="116" spans="1:41" s="69" customFormat="1" ht="15">
      <c r="A116" s="77" t="s">
        <v>367</v>
      </c>
      <c r="B116" s="69">
        <v>110</v>
      </c>
      <c r="C116" s="78" t="s">
        <v>368</v>
      </c>
      <c r="D116" s="226"/>
      <c r="E116" s="226"/>
      <c r="F116" s="226"/>
      <c r="G116" s="227">
        <v>63073.85</v>
      </c>
      <c r="H116" s="243"/>
      <c r="I116" s="228"/>
      <c r="J116" s="229"/>
      <c r="K116" s="229"/>
      <c r="L116" s="199">
        <f t="shared" si="12"/>
        <v>63073.85</v>
      </c>
      <c r="M116" s="230">
        <v>25608.82</v>
      </c>
      <c r="N116" s="228">
        <v>49921.93</v>
      </c>
      <c r="O116" s="229"/>
      <c r="P116" s="199">
        <f t="shared" si="13"/>
        <v>75530.75</v>
      </c>
      <c r="Q116" s="228"/>
      <c r="R116" s="229"/>
      <c r="S116" s="229">
        <v>21910.73</v>
      </c>
      <c r="T116" s="228"/>
      <c r="U116" s="199">
        <f t="shared" si="19"/>
        <v>21910.73</v>
      </c>
      <c r="V116" s="229">
        <v>23233.64</v>
      </c>
      <c r="W116" s="227"/>
      <c r="X116" s="228"/>
      <c r="Y116" s="228"/>
      <c r="Z116" s="199">
        <f t="shared" si="20"/>
        <v>23233.64</v>
      </c>
      <c r="AA116" s="227">
        <v>0</v>
      </c>
      <c r="AB116" s="227">
        <v>0</v>
      </c>
      <c r="AC116" s="199">
        <f t="shared" si="16"/>
        <v>0</v>
      </c>
      <c r="AD116" s="228">
        <v>180366.82</v>
      </c>
      <c r="AE116" s="228"/>
      <c r="AF116" s="228">
        <v>420855.9</v>
      </c>
      <c r="AG116" s="228">
        <v>0</v>
      </c>
      <c r="AH116" s="228"/>
      <c r="AI116" s="228"/>
      <c r="AJ116" s="228"/>
      <c r="AK116" s="199">
        <f t="shared" si="11"/>
        <v>420855.9</v>
      </c>
      <c r="AL116" s="85">
        <f t="shared" si="17"/>
        <v>784971.69</v>
      </c>
      <c r="AN116" s="200"/>
      <c r="AO116" s="69">
        <f t="shared" si="18"/>
        <v>1</v>
      </c>
    </row>
    <row r="117" spans="1:41" s="69" customFormat="1" ht="15">
      <c r="A117" s="77" t="s">
        <v>369</v>
      </c>
      <c r="B117" s="69">
        <v>111</v>
      </c>
      <c r="C117" s="78" t="s">
        <v>370</v>
      </c>
      <c r="D117" s="226"/>
      <c r="E117" s="226"/>
      <c r="F117" s="226"/>
      <c r="G117" s="227"/>
      <c r="H117" s="243"/>
      <c r="I117" s="228"/>
      <c r="J117" s="229"/>
      <c r="K117" s="229"/>
      <c r="L117" s="199">
        <f t="shared" si="12"/>
        <v>0</v>
      </c>
      <c r="M117" s="230"/>
      <c r="N117" s="228"/>
      <c r="O117" s="229"/>
      <c r="P117" s="199">
        <f t="shared" si="13"/>
        <v>0</v>
      </c>
      <c r="Q117" s="228"/>
      <c r="R117" s="229"/>
      <c r="S117" s="229">
        <v>0</v>
      </c>
      <c r="T117" s="228"/>
      <c r="U117" s="199">
        <f t="shared" si="19"/>
        <v>0</v>
      </c>
      <c r="V117" s="229">
        <v>0</v>
      </c>
      <c r="W117" s="227"/>
      <c r="X117" s="228"/>
      <c r="Y117" s="228"/>
      <c r="Z117" s="199">
        <f t="shared" si="20"/>
        <v>0</v>
      </c>
      <c r="AA117" s="227">
        <v>0</v>
      </c>
      <c r="AB117" s="227">
        <v>0</v>
      </c>
      <c r="AC117" s="199">
        <f t="shared" si="16"/>
        <v>0</v>
      </c>
      <c r="AD117" s="228">
        <v>9208.18</v>
      </c>
      <c r="AE117" s="228"/>
      <c r="AF117" s="228">
        <v>0</v>
      </c>
      <c r="AG117" s="228">
        <v>0</v>
      </c>
      <c r="AH117" s="228"/>
      <c r="AI117" s="228"/>
      <c r="AJ117" s="228"/>
      <c r="AK117" s="199">
        <f t="shared" si="11"/>
        <v>0</v>
      </c>
      <c r="AL117" s="85">
        <f t="shared" si="17"/>
        <v>9208.18</v>
      </c>
      <c r="AN117" s="200"/>
      <c r="AO117" s="69">
        <f t="shared" si="18"/>
        <v>1</v>
      </c>
    </row>
    <row r="118" spans="1:41" s="69" customFormat="1" ht="15">
      <c r="A118" s="77" t="s">
        <v>371</v>
      </c>
      <c r="B118" s="69">
        <v>112</v>
      </c>
      <c r="C118" s="78" t="s">
        <v>372</v>
      </c>
      <c r="D118" s="226"/>
      <c r="E118" s="226"/>
      <c r="F118" s="226"/>
      <c r="G118" s="227"/>
      <c r="H118" s="243"/>
      <c r="I118" s="228"/>
      <c r="J118" s="229"/>
      <c r="K118" s="229"/>
      <c r="L118" s="199">
        <f t="shared" si="12"/>
        <v>0</v>
      </c>
      <c r="M118" s="230"/>
      <c r="N118" s="228"/>
      <c r="O118" s="229"/>
      <c r="P118" s="199">
        <f t="shared" si="13"/>
        <v>0</v>
      </c>
      <c r="Q118" s="228"/>
      <c r="R118" s="229"/>
      <c r="S118" s="229">
        <v>0</v>
      </c>
      <c r="T118" s="228"/>
      <c r="U118" s="199">
        <f t="shared" si="19"/>
        <v>0</v>
      </c>
      <c r="V118" s="229">
        <v>0</v>
      </c>
      <c r="W118" s="227"/>
      <c r="X118" s="228"/>
      <c r="Y118" s="228"/>
      <c r="Z118" s="199">
        <f t="shared" si="20"/>
        <v>0</v>
      </c>
      <c r="AA118" s="227">
        <v>0</v>
      </c>
      <c r="AB118" s="227">
        <v>0</v>
      </c>
      <c r="AC118" s="199">
        <f t="shared" si="16"/>
        <v>0</v>
      </c>
      <c r="AD118" s="228"/>
      <c r="AE118" s="228"/>
      <c r="AF118" s="228">
        <v>0</v>
      </c>
      <c r="AG118" s="228">
        <v>0</v>
      </c>
      <c r="AH118" s="228"/>
      <c r="AI118" s="228"/>
      <c r="AJ118" s="228"/>
      <c r="AK118" s="199">
        <f t="shared" si="11"/>
        <v>0</v>
      </c>
      <c r="AL118" s="85">
        <f t="shared" si="17"/>
        <v>0</v>
      </c>
      <c r="AN118" s="200"/>
      <c r="AO118" s="69">
        <f t="shared" si="18"/>
        <v>0</v>
      </c>
    </row>
    <row r="119" spans="1:41" s="69" customFormat="1" ht="15">
      <c r="A119" s="77" t="s">
        <v>373</v>
      </c>
      <c r="B119" s="69">
        <v>113</v>
      </c>
      <c r="C119" s="78" t="s">
        <v>374</v>
      </c>
      <c r="D119" s="226">
        <v>150000</v>
      </c>
      <c r="E119" s="226"/>
      <c r="F119" s="226"/>
      <c r="G119" s="227"/>
      <c r="H119" s="243"/>
      <c r="I119" s="228"/>
      <c r="J119" s="229"/>
      <c r="K119" s="229"/>
      <c r="L119" s="199">
        <f t="shared" si="12"/>
        <v>150000</v>
      </c>
      <c r="M119" s="230"/>
      <c r="N119" s="228"/>
      <c r="O119" s="229"/>
      <c r="P119" s="199">
        <f t="shared" si="13"/>
        <v>0</v>
      </c>
      <c r="Q119" s="228">
        <v>1083697.18</v>
      </c>
      <c r="R119" s="229">
        <v>403781.32</v>
      </c>
      <c r="S119" s="234">
        <v>409927.82</v>
      </c>
      <c r="T119" s="228">
        <v>138917.72</v>
      </c>
      <c r="U119" s="199">
        <f t="shared" si="19"/>
        <v>2036324.04</v>
      </c>
      <c r="V119" s="220">
        <v>434678.18</v>
      </c>
      <c r="W119" s="227">
        <v>353837.04</v>
      </c>
      <c r="X119" s="228">
        <v>353849.64</v>
      </c>
      <c r="Y119" s="228"/>
      <c r="Z119" s="199">
        <f t="shared" si="20"/>
        <v>1142364.8599999999</v>
      </c>
      <c r="AA119" s="227">
        <v>827823.03</v>
      </c>
      <c r="AB119" s="227">
        <v>827823.03</v>
      </c>
      <c r="AC119" s="199">
        <f t="shared" si="16"/>
        <v>1655646.06</v>
      </c>
      <c r="AD119" s="228">
        <v>5144405.46</v>
      </c>
      <c r="AE119" s="228"/>
      <c r="AF119" s="228">
        <v>12003612.24</v>
      </c>
      <c r="AG119" s="228">
        <v>0</v>
      </c>
      <c r="AH119" s="228"/>
      <c r="AI119" s="228"/>
      <c r="AJ119" s="228"/>
      <c r="AK119" s="199">
        <f t="shared" si="11"/>
        <v>12003612.24</v>
      </c>
      <c r="AL119" s="85">
        <f t="shared" si="17"/>
        <v>22132352.659999996</v>
      </c>
      <c r="AN119" s="200"/>
      <c r="AO119" s="69">
        <f t="shared" si="18"/>
        <v>1</v>
      </c>
    </row>
    <row r="120" spans="2:38" s="69" customFormat="1" ht="33.75" customHeight="1">
      <c r="B120" s="80"/>
      <c r="C120" s="63" t="s">
        <v>388</v>
      </c>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v>12003612.24</v>
      </c>
      <c r="AG120" s="81"/>
      <c r="AH120" s="81"/>
      <c r="AI120" s="81"/>
      <c r="AJ120" s="81"/>
      <c r="AK120" s="81"/>
      <c r="AL120" s="81"/>
    </row>
    <row r="121" spans="2:38" s="69" customFormat="1" ht="15">
      <c r="B121" s="80"/>
      <c r="C121" s="80"/>
      <c r="D121" s="80"/>
      <c r="E121" s="80"/>
      <c r="F121" s="80"/>
      <c r="G121" s="80"/>
      <c r="H121" s="80"/>
      <c r="I121" s="81"/>
      <c r="J121" s="81"/>
      <c r="K121" s="81"/>
      <c r="L121" s="80"/>
      <c r="M121" s="80"/>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row>
    <row r="122" spans="2:38" s="69" customFormat="1" ht="14.25">
      <c r="B122" s="80"/>
      <c r="C122" s="80"/>
      <c r="D122" s="80"/>
      <c r="E122" s="80"/>
      <c r="F122" s="80"/>
      <c r="G122" s="80"/>
      <c r="H122" s="80"/>
      <c r="I122" s="81"/>
      <c r="J122" s="81"/>
      <c r="K122" s="81"/>
      <c r="L122" s="80"/>
      <c r="M122" s="80"/>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row>
    <row r="123" spans="2:38" s="69" customFormat="1" ht="14.25">
      <c r="B123" s="80"/>
      <c r="C123" s="80"/>
      <c r="D123" s="80"/>
      <c r="E123" s="80"/>
      <c r="F123" s="80"/>
      <c r="G123" s="80"/>
      <c r="H123" s="60"/>
      <c r="I123" s="81"/>
      <c r="J123" s="81"/>
      <c r="K123" s="81"/>
      <c r="L123" s="60"/>
      <c r="M123" s="80"/>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row>
    <row r="124" spans="2:38" s="69" customFormat="1" ht="14.25">
      <c r="B124" s="80"/>
      <c r="C124" s="80"/>
      <c r="D124" s="80"/>
      <c r="E124" s="80"/>
      <c r="F124" s="80"/>
      <c r="G124" s="80"/>
      <c r="H124" s="80"/>
      <c r="I124" s="81"/>
      <c r="J124" s="81"/>
      <c r="K124" s="81"/>
      <c r="L124" s="80"/>
      <c r="M124" s="80"/>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row>
    <row r="125" spans="2:38" s="69" customFormat="1" ht="14.25">
      <c r="B125" s="80"/>
      <c r="C125" s="80"/>
      <c r="D125" s="80"/>
      <c r="E125" s="80"/>
      <c r="F125" s="80"/>
      <c r="G125" s="80"/>
      <c r="H125" s="80"/>
      <c r="I125" s="81"/>
      <c r="J125" s="81"/>
      <c r="K125" s="81"/>
      <c r="L125" s="80"/>
      <c r="M125" s="80"/>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row>
    <row r="126" spans="2:38" s="69" customFormat="1" ht="14.25">
      <c r="B126" s="80"/>
      <c r="C126" s="80"/>
      <c r="D126" s="80"/>
      <c r="E126" s="80"/>
      <c r="F126" s="80"/>
      <c r="G126" s="80"/>
      <c r="H126" s="80"/>
      <c r="I126" s="81"/>
      <c r="J126" s="81"/>
      <c r="K126" s="81"/>
      <c r="L126" s="80"/>
      <c r="M126" s="80"/>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row>
  </sheetData>
  <sheetProtection/>
  <mergeCells count="13">
    <mergeCell ref="V1:Y1"/>
    <mergeCell ref="D1:K1"/>
    <mergeCell ref="L1:L2"/>
    <mergeCell ref="P1:P2"/>
    <mergeCell ref="M1:O1"/>
    <mergeCell ref="Q1:T1"/>
    <mergeCell ref="U1:U2"/>
    <mergeCell ref="Z1:Z2"/>
    <mergeCell ref="AC1:AC2"/>
    <mergeCell ref="AL1:AL2"/>
    <mergeCell ref="AA1:AB1"/>
    <mergeCell ref="AK1:AK2"/>
    <mergeCell ref="AE1:AJ1"/>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Q126"/>
  <sheetViews>
    <sheetView zoomScale="80" zoomScaleNormal="80" zoomScalePageLayoutView="0" workbookViewId="0" topLeftCell="AA1">
      <selection activeCell="AP25" sqref="AP25"/>
    </sheetView>
  </sheetViews>
  <sheetFormatPr defaultColWidth="11.421875" defaultRowHeight="15"/>
  <cols>
    <col min="1" max="1" width="8.7109375" style="59" customWidth="1"/>
    <col min="2" max="2" width="7.00390625" style="59" customWidth="1"/>
    <col min="3" max="3" width="32.8515625" style="59" customWidth="1"/>
    <col min="4" max="4" width="21.421875" style="59" customWidth="1"/>
    <col min="5" max="5" width="18.8515625" style="59" customWidth="1"/>
    <col min="6" max="6" width="22.421875" style="59" customWidth="1"/>
    <col min="7" max="8" width="19.421875" style="59" customWidth="1"/>
    <col min="9" max="9" width="20.421875" style="59" customWidth="1"/>
    <col min="10" max="10" width="19.140625" style="59" customWidth="1"/>
    <col min="11" max="11" width="18.8515625" style="59" customWidth="1"/>
    <col min="12" max="12" width="19.140625" style="59" customWidth="1"/>
    <col min="13" max="13" width="21.421875" style="59" customWidth="1"/>
    <col min="14" max="14" width="19.7109375" style="59" customWidth="1"/>
    <col min="15" max="15" width="21.7109375" style="59" customWidth="1"/>
    <col min="16" max="16" width="19.421875" style="59" customWidth="1"/>
    <col min="17" max="17" width="17.421875" style="59" customWidth="1"/>
    <col min="18" max="18" width="15.140625" style="59" customWidth="1"/>
    <col min="19" max="19" width="16.140625" style="59" customWidth="1"/>
    <col min="20" max="20" width="16.421875" style="59" customWidth="1"/>
    <col min="21" max="21" width="18.00390625" style="59" customWidth="1"/>
    <col min="22" max="22" width="17.7109375" style="59" customWidth="1"/>
    <col min="23" max="23" width="21.140625" style="59" customWidth="1"/>
    <col min="24" max="25" width="17.140625" style="59" customWidth="1"/>
    <col min="26" max="26" width="19.00390625" style="59" customWidth="1"/>
    <col min="27" max="27" width="17.7109375" style="59" customWidth="1"/>
    <col min="28" max="28" width="21.7109375" style="59" customWidth="1"/>
    <col min="29" max="29" width="23.8515625" style="59" bestFit="1" customWidth="1"/>
    <col min="30" max="30" width="24.28125" style="59" customWidth="1"/>
    <col min="31" max="31" width="17.140625" style="59" customWidth="1"/>
    <col min="32" max="32" width="21.00390625" style="59" customWidth="1"/>
    <col min="33" max="36" width="17.140625" style="59" customWidth="1"/>
    <col min="37" max="37" width="19.140625" style="59" customWidth="1"/>
    <col min="38" max="38" width="23.8515625" style="59" customWidth="1"/>
    <col min="39" max="39" width="4.7109375" style="59" customWidth="1"/>
    <col min="40" max="40" width="19.28125" style="59" customWidth="1"/>
    <col min="41" max="42" width="20.421875" style="59" customWidth="1"/>
    <col min="43" max="43" width="20.140625" style="59" customWidth="1"/>
    <col min="44" max="16384" width="11.421875" style="59" customWidth="1"/>
  </cols>
  <sheetData>
    <row r="1" spans="3:38" s="31" customFormat="1" ht="54" customHeight="1">
      <c r="C1" s="188" t="s">
        <v>379</v>
      </c>
      <c r="D1" s="292" t="s">
        <v>139</v>
      </c>
      <c r="E1" s="293"/>
      <c r="F1" s="293"/>
      <c r="G1" s="293"/>
      <c r="H1" s="293"/>
      <c r="I1" s="293"/>
      <c r="J1" s="293"/>
      <c r="K1" s="294"/>
      <c r="L1" s="278" t="s">
        <v>376</v>
      </c>
      <c r="M1" s="292" t="s">
        <v>140</v>
      </c>
      <c r="N1" s="293"/>
      <c r="O1" s="294"/>
      <c r="P1" s="278" t="s">
        <v>377</v>
      </c>
      <c r="Q1" s="292" t="s">
        <v>76</v>
      </c>
      <c r="R1" s="293"/>
      <c r="S1" s="293"/>
      <c r="T1" s="294"/>
      <c r="U1" s="278" t="s">
        <v>378</v>
      </c>
      <c r="V1" s="292" t="s">
        <v>380</v>
      </c>
      <c r="W1" s="293"/>
      <c r="X1" s="294"/>
      <c r="Y1" s="209"/>
      <c r="Z1" s="278" t="s">
        <v>381</v>
      </c>
      <c r="AA1" s="282" t="s">
        <v>382</v>
      </c>
      <c r="AB1" s="283"/>
      <c r="AC1" s="278" t="s">
        <v>383</v>
      </c>
      <c r="AD1" s="189" t="s">
        <v>435</v>
      </c>
      <c r="AE1" s="286" t="s">
        <v>384</v>
      </c>
      <c r="AF1" s="287"/>
      <c r="AG1" s="287"/>
      <c r="AH1" s="287"/>
      <c r="AI1" s="287"/>
      <c r="AJ1" s="288"/>
      <c r="AK1" s="284" t="s">
        <v>385</v>
      </c>
      <c r="AL1" s="280" t="s">
        <v>386</v>
      </c>
    </row>
    <row r="2" spans="3:38" s="31" customFormat="1" ht="30" customHeight="1">
      <c r="C2" s="188" t="s">
        <v>141</v>
      </c>
      <c r="D2" s="70" t="s">
        <v>142</v>
      </c>
      <c r="E2" s="70" t="s">
        <v>143</v>
      </c>
      <c r="F2" s="70" t="s">
        <v>143</v>
      </c>
      <c r="G2" s="71" t="s">
        <v>144</v>
      </c>
      <c r="H2" s="72" t="s">
        <v>145</v>
      </c>
      <c r="I2" s="190" t="s">
        <v>148</v>
      </c>
      <c r="J2" s="191" t="s">
        <v>151</v>
      </c>
      <c r="K2" s="191" t="s">
        <v>148</v>
      </c>
      <c r="L2" s="279"/>
      <c r="M2" s="72" t="s">
        <v>146</v>
      </c>
      <c r="N2" s="190" t="s">
        <v>149</v>
      </c>
      <c r="O2" s="191" t="s">
        <v>152</v>
      </c>
      <c r="P2" s="279"/>
      <c r="Q2" s="190" t="s">
        <v>147</v>
      </c>
      <c r="R2" s="191" t="s">
        <v>150</v>
      </c>
      <c r="S2" s="191">
        <v>2014</v>
      </c>
      <c r="T2" s="190">
        <v>2015</v>
      </c>
      <c r="U2" s="279"/>
      <c r="V2" s="191">
        <v>2014</v>
      </c>
      <c r="W2" s="190">
        <v>2015</v>
      </c>
      <c r="X2" s="190">
        <v>2016</v>
      </c>
      <c r="Y2" s="210">
        <v>2017</v>
      </c>
      <c r="Z2" s="279"/>
      <c r="AA2" s="190">
        <v>2014</v>
      </c>
      <c r="AB2" s="190">
        <v>2015</v>
      </c>
      <c r="AC2" s="279"/>
      <c r="AD2" s="190">
        <v>2014</v>
      </c>
      <c r="AE2" s="73">
        <v>2015</v>
      </c>
      <c r="AF2" s="73">
        <v>2016</v>
      </c>
      <c r="AG2" s="73">
        <v>2017</v>
      </c>
      <c r="AH2" s="73">
        <v>2018</v>
      </c>
      <c r="AI2" s="73">
        <v>2019</v>
      </c>
      <c r="AJ2" s="73">
        <v>2020</v>
      </c>
      <c r="AK2" s="285"/>
      <c r="AL2" s="281"/>
    </row>
    <row r="3" spans="3:42" s="31" customFormat="1" ht="30" customHeight="1">
      <c r="C3" s="74" t="s">
        <v>107</v>
      </c>
      <c r="D3" s="192"/>
      <c r="E3" s="192"/>
      <c r="F3" s="192"/>
      <c r="G3" s="192"/>
      <c r="H3" s="192">
        <v>10833.16</v>
      </c>
      <c r="I3" s="192"/>
      <c r="J3" s="192"/>
      <c r="K3" s="192">
        <f>2073359.62-501955.85-I4-J4-K4</f>
        <v>256285.23999999987</v>
      </c>
      <c r="L3" s="193">
        <f>SUM(D3:K3)</f>
        <v>267118.39999999985</v>
      </c>
      <c r="M3" s="192"/>
      <c r="N3" s="192"/>
      <c r="O3" s="192">
        <f>2504820.9-N4-O4</f>
        <v>0.009999999776482582</v>
      </c>
      <c r="P3" s="193">
        <f>SUM(M3:O3)</f>
        <v>0.009999999776482582</v>
      </c>
      <c r="Q3" s="192">
        <f>30000000-Q4</f>
        <v>0</v>
      </c>
      <c r="R3" s="192">
        <f>10000000-R4</f>
        <v>0</v>
      </c>
      <c r="S3" s="192">
        <f>10000000-S4</f>
        <v>15478.300000002608</v>
      </c>
      <c r="T3" s="192">
        <f>5000000-T4</f>
        <v>419241.9500000002</v>
      </c>
      <c r="U3" s="193">
        <f>SUM(Q3:T3)</f>
        <v>434720.2500000028</v>
      </c>
      <c r="V3" s="202">
        <f>5620200-V4</f>
        <v>44358.01999999862</v>
      </c>
      <c r="W3" s="192">
        <f>5620200-W4</f>
        <v>200.02999999839813</v>
      </c>
      <c r="X3" s="192"/>
      <c r="Y3" s="192"/>
      <c r="Z3" s="193">
        <f>SUM(V3:X3)</f>
        <v>44558.04999999702</v>
      </c>
      <c r="AA3" s="192">
        <f>13148327.82-AA4</f>
        <v>0.019999997690320015</v>
      </c>
      <c r="AB3" s="192">
        <f>13148327.82-AB4</f>
        <v>0.019999997690320015</v>
      </c>
      <c r="AC3" s="195">
        <f>SUM(AA3:AB3)</f>
        <v>0.03999999538064003</v>
      </c>
      <c r="AD3" s="235">
        <f>(17000000+9289342.01+13710657.99)-AD5-Y5</f>
        <v>1292428.760000004</v>
      </c>
      <c r="AE3" s="196"/>
      <c r="AF3" s="235">
        <f>17292637.43+18001661.58+4464127.93+28701307.11+23286129.85+2988568.2-AF5-X5-AG5</f>
        <v>34100081.30000003</v>
      </c>
      <c r="AG3" s="196"/>
      <c r="AH3" s="196"/>
      <c r="AI3" s="196"/>
      <c r="AJ3" s="196"/>
      <c r="AK3" s="195">
        <f>SUM(AE3:AJ3)</f>
        <v>34100081.30000003</v>
      </c>
      <c r="AL3" s="198">
        <f>+AD3+AK3+AC3+Z3+U3+P3+L3</f>
        <v>36138906.81000002</v>
      </c>
      <c r="AN3" s="61"/>
      <c r="AO3" s="66"/>
      <c r="AP3" s="66"/>
    </row>
    <row r="4" spans="1:43" s="31" customFormat="1" ht="28.5" customHeight="1">
      <c r="A4" s="56" t="s">
        <v>153</v>
      </c>
      <c r="B4" s="56" t="s">
        <v>154</v>
      </c>
      <c r="C4" s="74" t="s">
        <v>74</v>
      </c>
      <c r="D4" s="192">
        <f aca="true" t="shared" si="0" ref="D4:K4">SUM(D6:D119)</f>
        <v>4565784.51</v>
      </c>
      <c r="E4" s="192">
        <f t="shared" si="0"/>
        <v>1806624.34</v>
      </c>
      <c r="F4" s="192">
        <f t="shared" si="0"/>
        <v>3603549.6900000004</v>
      </c>
      <c r="G4" s="192">
        <f t="shared" si="0"/>
        <v>2823457.8300000005</v>
      </c>
      <c r="H4" s="192">
        <f t="shared" si="0"/>
        <v>3332079.67</v>
      </c>
      <c r="I4" s="192">
        <f t="shared" si="0"/>
        <v>678786.5800000001</v>
      </c>
      <c r="J4" s="192">
        <f t="shared" si="0"/>
        <v>184245.9</v>
      </c>
      <c r="K4" s="192">
        <f t="shared" si="0"/>
        <v>452086.05000000005</v>
      </c>
      <c r="L4" s="236">
        <f>SUM(D4:K4)</f>
        <v>17446614.569999997</v>
      </c>
      <c r="M4" s="192">
        <f>SUM(M6:M119)</f>
        <v>7495179.100000001</v>
      </c>
      <c r="N4" s="192">
        <f>SUM(N6:N119)</f>
        <v>994905.37</v>
      </c>
      <c r="O4" s="192">
        <f>SUM(O6:O119)</f>
        <v>1509915.52</v>
      </c>
      <c r="P4" s="193">
        <f>SUM(M4:O4)</f>
        <v>9999999.99</v>
      </c>
      <c r="Q4" s="237">
        <f>SUM(Q6:Q119)</f>
        <v>29999999.999999993</v>
      </c>
      <c r="R4" s="192">
        <f>SUM(R6:R119)</f>
        <v>10000000</v>
      </c>
      <c r="S4" s="192">
        <f>SUM(S6:S119)</f>
        <v>9984521.699999997</v>
      </c>
      <c r="T4" s="237">
        <f>T5</f>
        <v>4580758.05</v>
      </c>
      <c r="U4" s="193">
        <f>SUM(Q4:T4)</f>
        <v>54565279.749999985</v>
      </c>
      <c r="V4" s="192">
        <f>SUM(V6:V119)</f>
        <v>5575841.980000001</v>
      </c>
      <c r="W4" s="192">
        <f>W5</f>
        <v>5619999.970000002</v>
      </c>
      <c r="X4" s="192">
        <f>X5</f>
        <v>5036576.14</v>
      </c>
      <c r="Y4" s="192">
        <v>334177.4</v>
      </c>
      <c r="Z4" s="193">
        <v>16566595.489999998</v>
      </c>
      <c r="AA4" s="192">
        <f>AA5</f>
        <v>13148327.800000003</v>
      </c>
      <c r="AB4" s="192">
        <f>AB5</f>
        <v>13148327.800000003</v>
      </c>
      <c r="AC4" s="195">
        <f>SUM(AA4:AB4)</f>
        <v>26296655.600000005</v>
      </c>
      <c r="AD4" s="192">
        <f>AD5</f>
        <v>38373393.839999996</v>
      </c>
      <c r="AE4" s="192"/>
      <c r="AF4" s="192">
        <f>AF5</f>
        <v>55587774.65999998</v>
      </c>
      <c r="AG4" s="192"/>
      <c r="AH4" s="192"/>
      <c r="AI4" s="192"/>
      <c r="AJ4" s="192"/>
      <c r="AK4" s="195">
        <f>SUM(AE4:AJ4)</f>
        <v>55587774.65999998</v>
      </c>
      <c r="AL4" s="198">
        <f>+AD4+AK4+AC4+Z4+U4+P4+L4</f>
        <v>218836313.89999998</v>
      </c>
      <c r="AN4" s="213">
        <f>AL4+AL3</f>
        <v>254975220.70999998</v>
      </c>
      <c r="AO4" s="68"/>
      <c r="AP4" s="65"/>
      <c r="AQ4" s="64"/>
    </row>
    <row r="5" spans="1:43" s="31" customFormat="1" ht="24" customHeight="1">
      <c r="A5" s="56"/>
      <c r="B5" s="56"/>
      <c r="C5" s="82" t="s">
        <v>387</v>
      </c>
      <c r="D5" s="192">
        <f aca="true" t="shared" si="1" ref="D5:W5">SUM(D6:D119)</f>
        <v>4565784.51</v>
      </c>
      <c r="E5" s="192">
        <f t="shared" si="1"/>
        <v>1806624.34</v>
      </c>
      <c r="F5" s="192">
        <f t="shared" si="1"/>
        <v>3603549.6900000004</v>
      </c>
      <c r="G5" s="192">
        <f t="shared" si="1"/>
        <v>2823457.8300000005</v>
      </c>
      <c r="H5" s="192">
        <f t="shared" si="1"/>
        <v>3332079.67</v>
      </c>
      <c r="I5" s="192">
        <f t="shared" si="1"/>
        <v>678786.5800000001</v>
      </c>
      <c r="J5" s="192">
        <f t="shared" si="1"/>
        <v>184245.9</v>
      </c>
      <c r="K5" s="192">
        <f t="shared" si="1"/>
        <v>452086.05000000005</v>
      </c>
      <c r="L5" s="193">
        <f t="shared" si="1"/>
        <v>17446614.57</v>
      </c>
      <c r="M5" s="192">
        <f t="shared" si="1"/>
        <v>7495179.100000001</v>
      </c>
      <c r="N5" s="192">
        <f t="shared" si="1"/>
        <v>994905.37</v>
      </c>
      <c r="O5" s="192">
        <f t="shared" si="1"/>
        <v>1509915.52</v>
      </c>
      <c r="P5" s="193">
        <f t="shared" si="1"/>
        <v>9999999.990000004</v>
      </c>
      <c r="Q5" s="192">
        <f t="shared" si="1"/>
        <v>29999999.999999993</v>
      </c>
      <c r="R5" s="192">
        <f t="shared" si="1"/>
        <v>10000000</v>
      </c>
      <c r="S5" s="192">
        <f t="shared" si="1"/>
        <v>9984521.699999997</v>
      </c>
      <c r="T5" s="192">
        <f t="shared" si="1"/>
        <v>4580758.05</v>
      </c>
      <c r="U5" s="193">
        <f t="shared" si="1"/>
        <v>54565279.75</v>
      </c>
      <c r="V5" s="192">
        <f t="shared" si="1"/>
        <v>5575841.980000001</v>
      </c>
      <c r="W5" s="192">
        <f t="shared" si="1"/>
        <v>5619999.970000002</v>
      </c>
      <c r="X5" s="192">
        <f>SUM(X6:X119)</f>
        <v>5036576.14</v>
      </c>
      <c r="Y5" s="192">
        <f>SUM(Y6:Y119)</f>
        <v>334177.4</v>
      </c>
      <c r="Z5" s="193">
        <f aca="true" t="shared" si="2" ref="Z5:AK5">SUM(Z6:Z119)</f>
        <v>16566595.489999998</v>
      </c>
      <c r="AA5" s="192">
        <f t="shared" si="2"/>
        <v>13148327.800000003</v>
      </c>
      <c r="AB5" s="192">
        <f t="shared" si="2"/>
        <v>13148327.800000003</v>
      </c>
      <c r="AC5" s="193">
        <f t="shared" si="2"/>
        <v>26296655.600000005</v>
      </c>
      <c r="AD5" s="192">
        <f t="shared" si="2"/>
        <v>38373393.839999996</v>
      </c>
      <c r="AE5" s="192"/>
      <c r="AF5" s="192">
        <f t="shared" si="2"/>
        <v>55587774.65999998</v>
      </c>
      <c r="AG5" s="192">
        <f t="shared" si="2"/>
        <v>10000</v>
      </c>
      <c r="AH5" s="192">
        <f t="shared" si="2"/>
        <v>0</v>
      </c>
      <c r="AI5" s="192">
        <f t="shared" si="2"/>
        <v>0</v>
      </c>
      <c r="AJ5" s="192">
        <f t="shared" si="2"/>
        <v>0</v>
      </c>
      <c r="AK5" s="193">
        <f t="shared" si="2"/>
        <v>55587774.65999998</v>
      </c>
      <c r="AL5" s="193">
        <f>SUM(AL6:AL119)</f>
        <v>218836313.90000007</v>
      </c>
      <c r="AN5" s="62">
        <f>AL4-AL5</f>
        <v>0</v>
      </c>
      <c r="AO5" s="68"/>
      <c r="AP5" s="65"/>
      <c r="AQ5" s="64"/>
    </row>
    <row r="6" spans="1:43" s="31" customFormat="1" ht="15">
      <c r="A6" s="57" t="s">
        <v>155</v>
      </c>
      <c r="B6" s="31">
        <v>1</v>
      </c>
      <c r="C6" s="203" t="s">
        <v>156</v>
      </c>
      <c r="D6" s="226"/>
      <c r="E6" s="226"/>
      <c r="F6" s="226"/>
      <c r="G6" s="227"/>
      <c r="H6" s="230"/>
      <c r="I6" s="228"/>
      <c r="J6" s="229"/>
      <c r="K6" s="229"/>
      <c r="L6" s="199">
        <f aca="true" t="shared" si="3" ref="L6:L70">SUM(D6:K6)</f>
        <v>0</v>
      </c>
      <c r="M6" s="230">
        <v>135702.74</v>
      </c>
      <c r="N6" s="228"/>
      <c r="O6" s="229">
        <v>86843.74000000002</v>
      </c>
      <c r="P6" s="199">
        <f aca="true" t="shared" si="4" ref="P6:P70">SUM(M6:O6)</f>
        <v>222546.48</v>
      </c>
      <c r="Q6" s="228">
        <v>49416.02</v>
      </c>
      <c r="R6" s="229"/>
      <c r="S6" s="229">
        <v>0</v>
      </c>
      <c r="T6" s="228"/>
      <c r="U6" s="199">
        <f aca="true" t="shared" si="5" ref="U6:U70">SUM(Q6:T6)</f>
        <v>49416.02</v>
      </c>
      <c r="V6" s="229">
        <v>0</v>
      </c>
      <c r="W6" s="227"/>
      <c r="X6" s="228"/>
      <c r="Y6" s="228"/>
      <c r="Z6" s="199">
        <f>V6+W6+X6+Y6</f>
        <v>0</v>
      </c>
      <c r="AA6" s="227">
        <v>0</v>
      </c>
      <c r="AB6" s="227">
        <v>0</v>
      </c>
      <c r="AC6" s="199">
        <f aca="true" t="shared" si="6" ref="AC6:AC70">SUM(AA6:AB6)</f>
        <v>0</v>
      </c>
      <c r="AD6" s="245"/>
      <c r="AE6" s="228"/>
      <c r="AF6" s="245">
        <v>0</v>
      </c>
      <c r="AG6" s="228">
        <v>0</v>
      </c>
      <c r="AH6" s="228"/>
      <c r="AI6" s="228"/>
      <c r="AJ6" s="228"/>
      <c r="AK6" s="199">
        <f aca="true" t="shared" si="7" ref="AK6:AK54">SUM(AE6:AJ6)</f>
        <v>0</v>
      </c>
      <c r="AL6" s="85">
        <f>+AD6+AK6+AC6+Z6+U6+P6+L6</f>
        <v>271962.5</v>
      </c>
      <c r="AP6" s="64"/>
      <c r="AQ6" s="65"/>
    </row>
    <row r="7" spans="1:43" s="31" customFormat="1" ht="15">
      <c r="A7" s="57" t="s">
        <v>157</v>
      </c>
      <c r="B7" s="31">
        <v>2</v>
      </c>
      <c r="C7" s="203" t="s">
        <v>158</v>
      </c>
      <c r="D7" s="226">
        <v>150000</v>
      </c>
      <c r="E7" s="226"/>
      <c r="F7" s="226"/>
      <c r="G7" s="227"/>
      <c r="H7" s="230"/>
      <c r="I7" s="228"/>
      <c r="J7" s="229"/>
      <c r="K7" s="229"/>
      <c r="L7" s="199">
        <f t="shared" si="3"/>
        <v>150000</v>
      </c>
      <c r="M7" s="230">
        <v>150000.4</v>
      </c>
      <c r="N7" s="228"/>
      <c r="O7" s="229"/>
      <c r="P7" s="199">
        <f t="shared" si="4"/>
        <v>150000.4</v>
      </c>
      <c r="Q7" s="228">
        <v>273559.23</v>
      </c>
      <c r="R7" s="229"/>
      <c r="S7" s="229">
        <v>0</v>
      </c>
      <c r="T7" s="228"/>
      <c r="U7" s="199">
        <f t="shared" si="5"/>
        <v>273559.23</v>
      </c>
      <c r="V7" s="229">
        <v>0</v>
      </c>
      <c r="W7" s="227"/>
      <c r="X7" s="228"/>
      <c r="Y7" s="228"/>
      <c r="Z7" s="199">
        <f aca="true" t="shared" si="8" ref="Z7:Z70">V7+W7+X7+Y7</f>
        <v>0</v>
      </c>
      <c r="AA7" s="227">
        <v>0</v>
      </c>
      <c r="AB7" s="227">
        <v>0</v>
      </c>
      <c r="AC7" s="199">
        <f t="shared" si="6"/>
        <v>0</v>
      </c>
      <c r="AD7" s="245"/>
      <c r="AE7" s="228"/>
      <c r="AF7" s="245">
        <v>0</v>
      </c>
      <c r="AG7" s="228">
        <v>0</v>
      </c>
      <c r="AH7" s="228"/>
      <c r="AI7" s="228"/>
      <c r="AJ7" s="228"/>
      <c r="AK7" s="199">
        <f t="shared" si="7"/>
        <v>0</v>
      </c>
      <c r="AL7" s="85">
        <f aca="true" t="shared" si="9" ref="AL7:AL70">+AD7+AK7+AC7+Z7+U7+P7+L7</f>
        <v>573559.63</v>
      </c>
      <c r="AO7" s="64"/>
      <c r="AQ7" s="64"/>
    </row>
    <row r="8" spans="1:38" s="31" customFormat="1" ht="15">
      <c r="A8" s="57" t="s">
        <v>159</v>
      </c>
      <c r="B8" s="31">
        <v>3</v>
      </c>
      <c r="C8" s="203" t="s">
        <v>160</v>
      </c>
      <c r="D8" s="226"/>
      <c r="E8" s="226"/>
      <c r="F8" s="226"/>
      <c r="G8" s="227"/>
      <c r="H8" s="230">
        <v>80141.23</v>
      </c>
      <c r="I8" s="228"/>
      <c r="J8" s="229"/>
      <c r="K8" s="229"/>
      <c r="L8" s="199">
        <f t="shared" si="3"/>
        <v>80141.23</v>
      </c>
      <c r="M8" s="230"/>
      <c r="N8" s="228"/>
      <c r="O8" s="229"/>
      <c r="P8" s="199">
        <f t="shared" si="4"/>
        <v>0</v>
      </c>
      <c r="Q8" s="228">
        <v>323882.17</v>
      </c>
      <c r="R8" s="229">
        <v>120677.23</v>
      </c>
      <c r="S8" s="229">
        <v>34375.75</v>
      </c>
      <c r="T8" s="228">
        <v>11649.37</v>
      </c>
      <c r="U8" s="199">
        <f t="shared" si="5"/>
        <v>490584.51999999996</v>
      </c>
      <c r="V8" s="229">
        <v>36451.26</v>
      </c>
      <c r="W8" s="227">
        <v>29672.08</v>
      </c>
      <c r="X8" s="228">
        <v>29673.14</v>
      </c>
      <c r="Y8" s="228">
        <v>7093.56</v>
      </c>
      <c r="Z8" s="199">
        <f t="shared" si="8"/>
        <v>102890.04</v>
      </c>
      <c r="AA8" s="227">
        <v>69419.63</v>
      </c>
      <c r="AB8" s="227">
        <v>69419.63</v>
      </c>
      <c r="AC8" s="199">
        <f t="shared" si="6"/>
        <v>138839.26</v>
      </c>
      <c r="AD8" s="245">
        <v>133302.79</v>
      </c>
      <c r="AE8" s="228"/>
      <c r="AF8" s="245">
        <v>311039.85</v>
      </c>
      <c r="AG8" s="228">
        <v>0</v>
      </c>
      <c r="AH8" s="228"/>
      <c r="AI8" s="228"/>
      <c r="AJ8" s="228"/>
      <c r="AK8" s="199">
        <f>SUM(AF8:AJ8)</f>
        <v>311039.85</v>
      </c>
      <c r="AL8" s="85">
        <f t="shared" si="9"/>
        <v>1256797.69</v>
      </c>
    </row>
    <row r="9" spans="1:39" s="31" customFormat="1" ht="15">
      <c r="A9" s="57" t="s">
        <v>161</v>
      </c>
      <c r="B9" s="31">
        <v>4</v>
      </c>
      <c r="C9" s="203" t="s">
        <v>162</v>
      </c>
      <c r="D9" s="226"/>
      <c r="E9" s="226"/>
      <c r="F9" s="226"/>
      <c r="G9" s="227"/>
      <c r="H9" s="230"/>
      <c r="I9" s="228"/>
      <c r="J9" s="229"/>
      <c r="K9" s="229"/>
      <c r="L9" s="199">
        <f t="shared" si="3"/>
        <v>0</v>
      </c>
      <c r="M9" s="230"/>
      <c r="N9" s="228"/>
      <c r="O9" s="229"/>
      <c r="P9" s="199">
        <f t="shared" si="4"/>
        <v>0</v>
      </c>
      <c r="Q9" s="228"/>
      <c r="R9" s="229">
        <v>52394.01</v>
      </c>
      <c r="S9" s="229">
        <v>0</v>
      </c>
      <c r="T9" s="228"/>
      <c r="U9" s="199">
        <f t="shared" si="5"/>
        <v>52394.01</v>
      </c>
      <c r="V9" s="229">
        <v>0</v>
      </c>
      <c r="W9" s="227">
        <v>19000.1</v>
      </c>
      <c r="X9" s="228"/>
      <c r="Y9" s="228"/>
      <c r="Z9" s="199">
        <f t="shared" si="8"/>
        <v>19000.1</v>
      </c>
      <c r="AA9" s="227">
        <v>44451.89</v>
      </c>
      <c r="AB9" s="227">
        <v>44451.89</v>
      </c>
      <c r="AC9" s="199">
        <f t="shared" si="6"/>
        <v>88903.78</v>
      </c>
      <c r="AD9" s="245"/>
      <c r="AE9" s="228"/>
      <c r="AF9" s="245">
        <v>0</v>
      </c>
      <c r="AG9" s="228">
        <v>0</v>
      </c>
      <c r="AH9" s="228"/>
      <c r="AI9" s="228"/>
      <c r="AJ9" s="228"/>
      <c r="AK9" s="199">
        <f t="shared" si="7"/>
        <v>0</v>
      </c>
      <c r="AL9" s="85">
        <f t="shared" si="9"/>
        <v>160297.89</v>
      </c>
      <c r="AM9" s="200"/>
    </row>
    <row r="10" spans="1:38" s="31" customFormat="1" ht="15">
      <c r="A10" s="57" t="s">
        <v>163</v>
      </c>
      <c r="B10" s="31">
        <v>5</v>
      </c>
      <c r="C10" s="203" t="s">
        <v>164</v>
      </c>
      <c r="D10" s="226">
        <v>150000</v>
      </c>
      <c r="E10" s="226"/>
      <c r="F10" s="226">
        <v>150000</v>
      </c>
      <c r="G10" s="227"/>
      <c r="H10" s="230">
        <v>150000</v>
      </c>
      <c r="I10" s="228"/>
      <c r="J10" s="229"/>
      <c r="K10" s="229"/>
      <c r="L10" s="199">
        <f t="shared" si="3"/>
        <v>450000</v>
      </c>
      <c r="M10" s="230">
        <v>119048.41</v>
      </c>
      <c r="N10" s="228"/>
      <c r="O10" s="229"/>
      <c r="P10" s="199">
        <f t="shared" si="4"/>
        <v>119048.41</v>
      </c>
      <c r="Q10" s="228">
        <v>2620612.96</v>
      </c>
      <c r="R10" s="229">
        <v>976430.11</v>
      </c>
      <c r="S10" s="229">
        <v>126211.16</v>
      </c>
      <c r="T10" s="228">
        <v>95200.38</v>
      </c>
      <c r="U10" s="199">
        <f t="shared" si="5"/>
        <v>3818454.61</v>
      </c>
      <c r="V10" s="229">
        <v>133831.45</v>
      </c>
      <c r="W10" s="227">
        <v>242484.72</v>
      </c>
      <c r="X10" s="228">
        <v>242493.35</v>
      </c>
      <c r="Y10" s="228"/>
      <c r="Z10" s="199">
        <f t="shared" si="8"/>
        <v>618809.52</v>
      </c>
      <c r="AA10" s="227">
        <v>567307.57</v>
      </c>
      <c r="AB10" s="227">
        <v>567307.57</v>
      </c>
      <c r="AC10" s="199">
        <f t="shared" si="6"/>
        <v>1134615.14</v>
      </c>
      <c r="AD10" s="245">
        <v>1260470.81</v>
      </c>
      <c r="AE10" s="228"/>
      <c r="AF10" s="245">
        <v>2115229.83</v>
      </c>
      <c r="AG10" s="228">
        <v>0</v>
      </c>
      <c r="AH10" s="228"/>
      <c r="AI10" s="228"/>
      <c r="AJ10" s="228"/>
      <c r="AK10" s="199">
        <f t="shared" si="7"/>
        <v>2115229.83</v>
      </c>
      <c r="AL10" s="85">
        <f t="shared" si="9"/>
        <v>9516628.32</v>
      </c>
    </row>
    <row r="11" spans="1:38" s="31" customFormat="1" ht="15">
      <c r="A11" s="57" t="s">
        <v>165</v>
      </c>
      <c r="B11" s="31">
        <v>6</v>
      </c>
      <c r="C11" s="203" t="s">
        <v>166</v>
      </c>
      <c r="D11" s="226"/>
      <c r="E11" s="226"/>
      <c r="F11" s="226"/>
      <c r="G11" s="227"/>
      <c r="H11" s="230">
        <v>32393.44</v>
      </c>
      <c r="I11" s="228"/>
      <c r="J11" s="229"/>
      <c r="K11" s="229"/>
      <c r="L11" s="199">
        <f t="shared" si="3"/>
        <v>32393.44</v>
      </c>
      <c r="M11" s="230"/>
      <c r="N11" s="228"/>
      <c r="O11" s="229"/>
      <c r="P11" s="199">
        <f t="shared" si="4"/>
        <v>0</v>
      </c>
      <c r="Q11" s="228"/>
      <c r="R11" s="229"/>
      <c r="S11" s="229">
        <v>3163.19</v>
      </c>
      <c r="T11" s="228"/>
      <c r="U11" s="199">
        <f t="shared" si="5"/>
        <v>3163.19</v>
      </c>
      <c r="V11" s="229">
        <v>3354.18</v>
      </c>
      <c r="W11" s="227"/>
      <c r="X11" s="228"/>
      <c r="Y11" s="228"/>
      <c r="Z11" s="199">
        <f t="shared" si="8"/>
        <v>3354.18</v>
      </c>
      <c r="AA11" s="227">
        <v>0</v>
      </c>
      <c r="AB11" s="227">
        <v>0</v>
      </c>
      <c r="AC11" s="199">
        <f t="shared" si="6"/>
        <v>0</v>
      </c>
      <c r="AD11" s="245">
        <v>170902.76</v>
      </c>
      <c r="AE11" s="228"/>
      <c r="AF11" s="245">
        <v>0</v>
      </c>
      <c r="AG11" s="228">
        <v>0</v>
      </c>
      <c r="AH11" s="228"/>
      <c r="AI11" s="228"/>
      <c r="AJ11" s="228"/>
      <c r="AK11" s="199">
        <f t="shared" si="7"/>
        <v>0</v>
      </c>
      <c r="AL11" s="85">
        <f t="shared" si="9"/>
        <v>209813.57</v>
      </c>
    </row>
    <row r="12" spans="1:38" s="31" customFormat="1" ht="15">
      <c r="A12" s="57" t="s">
        <v>167</v>
      </c>
      <c r="B12" s="31">
        <v>7</v>
      </c>
      <c r="C12" s="203" t="s">
        <v>168</v>
      </c>
      <c r="D12" s="226">
        <v>150000</v>
      </c>
      <c r="E12" s="226"/>
      <c r="F12" s="226"/>
      <c r="G12" s="227"/>
      <c r="H12" s="230"/>
      <c r="I12" s="228"/>
      <c r="J12" s="229"/>
      <c r="K12" s="229"/>
      <c r="L12" s="199">
        <f t="shared" si="3"/>
        <v>150000</v>
      </c>
      <c r="M12" s="230">
        <v>65944.79</v>
      </c>
      <c r="N12" s="228"/>
      <c r="O12" s="229"/>
      <c r="P12" s="199">
        <f t="shared" si="4"/>
        <v>65944.79</v>
      </c>
      <c r="Q12" s="228"/>
      <c r="R12" s="229"/>
      <c r="S12" s="229">
        <v>0</v>
      </c>
      <c r="T12" s="228"/>
      <c r="U12" s="199">
        <f t="shared" si="5"/>
        <v>0</v>
      </c>
      <c r="V12" s="229">
        <v>0</v>
      </c>
      <c r="W12" s="227"/>
      <c r="X12" s="228"/>
      <c r="Y12" s="228"/>
      <c r="Z12" s="199">
        <f t="shared" si="8"/>
        <v>0</v>
      </c>
      <c r="AA12" s="227">
        <v>0</v>
      </c>
      <c r="AB12" s="227">
        <v>0</v>
      </c>
      <c r="AC12" s="199">
        <f t="shared" si="6"/>
        <v>0</v>
      </c>
      <c r="AD12" s="245"/>
      <c r="AE12" s="228"/>
      <c r="AF12" s="245">
        <v>0</v>
      </c>
      <c r="AG12" s="228">
        <v>0</v>
      </c>
      <c r="AH12" s="228"/>
      <c r="AI12" s="228"/>
      <c r="AJ12" s="228"/>
      <c r="AK12" s="199">
        <f t="shared" si="7"/>
        <v>0</v>
      </c>
      <c r="AL12" s="85">
        <f t="shared" si="9"/>
        <v>215944.78999999998</v>
      </c>
    </row>
    <row r="13" spans="1:38" s="31" customFormat="1" ht="15">
      <c r="A13" s="57" t="s">
        <v>169</v>
      </c>
      <c r="B13" s="31">
        <v>8</v>
      </c>
      <c r="C13" s="203" t="s">
        <v>170</v>
      </c>
      <c r="D13" s="226"/>
      <c r="E13" s="226"/>
      <c r="F13" s="226">
        <v>313214.54</v>
      </c>
      <c r="G13" s="227"/>
      <c r="H13" s="230">
        <v>152791.39</v>
      </c>
      <c r="I13" s="228"/>
      <c r="J13" s="229"/>
      <c r="K13" s="229"/>
      <c r="L13" s="199">
        <f t="shared" si="3"/>
        <v>466005.93</v>
      </c>
      <c r="M13" s="230">
        <v>89894.1</v>
      </c>
      <c r="N13" s="228"/>
      <c r="O13" s="229"/>
      <c r="P13" s="199">
        <f t="shared" si="4"/>
        <v>89894.1</v>
      </c>
      <c r="Q13" s="228">
        <v>266969.08</v>
      </c>
      <c r="R13" s="229">
        <v>99471.63</v>
      </c>
      <c r="S13" s="229">
        <v>23611.54</v>
      </c>
      <c r="T13" s="228">
        <v>17810.05</v>
      </c>
      <c r="U13" s="199">
        <f t="shared" si="5"/>
        <v>407862.3</v>
      </c>
      <c r="V13" s="229">
        <v>25037.14</v>
      </c>
      <c r="W13" s="227">
        <v>45363.96</v>
      </c>
      <c r="X13" s="228">
        <v>45365.57</v>
      </c>
      <c r="Y13" s="228"/>
      <c r="Z13" s="199">
        <f t="shared" si="8"/>
        <v>115766.67000000001</v>
      </c>
      <c r="AA13" s="227">
        <v>106131.71</v>
      </c>
      <c r="AB13" s="227">
        <v>106131.71</v>
      </c>
      <c r="AC13" s="199">
        <f t="shared" si="6"/>
        <v>212263.42</v>
      </c>
      <c r="AD13" s="245">
        <v>552165.57</v>
      </c>
      <c r="AE13" s="228"/>
      <c r="AF13" s="245">
        <v>718647.21</v>
      </c>
      <c r="AG13" s="228">
        <v>0</v>
      </c>
      <c r="AH13" s="228"/>
      <c r="AI13" s="228"/>
      <c r="AJ13" s="228"/>
      <c r="AK13" s="199">
        <f t="shared" si="7"/>
        <v>718647.21</v>
      </c>
      <c r="AL13" s="85">
        <f t="shared" si="9"/>
        <v>2562605.1999999997</v>
      </c>
    </row>
    <row r="14" spans="1:38" s="31" customFormat="1" ht="15">
      <c r="A14" s="57" t="s">
        <v>171</v>
      </c>
      <c r="B14" s="31">
        <v>9</v>
      </c>
      <c r="C14" s="203" t="s">
        <v>172</v>
      </c>
      <c r="D14" s="226"/>
      <c r="E14" s="226"/>
      <c r="F14" s="226"/>
      <c r="G14" s="227"/>
      <c r="H14" s="230"/>
      <c r="I14" s="228"/>
      <c r="J14" s="229"/>
      <c r="K14" s="229"/>
      <c r="L14" s="199">
        <f t="shared" si="3"/>
        <v>0</v>
      </c>
      <c r="M14" s="230"/>
      <c r="N14" s="228"/>
      <c r="O14" s="229">
        <v>30697.109999999997</v>
      </c>
      <c r="P14" s="199">
        <f t="shared" si="4"/>
        <v>30697.109999999997</v>
      </c>
      <c r="Q14" s="228">
        <v>17467.34</v>
      </c>
      <c r="R14" s="229"/>
      <c r="S14" s="229">
        <v>0</v>
      </c>
      <c r="T14" s="228"/>
      <c r="U14" s="199">
        <f t="shared" si="5"/>
        <v>17467.34</v>
      </c>
      <c r="V14" s="229">
        <v>0</v>
      </c>
      <c r="W14" s="227"/>
      <c r="X14" s="228"/>
      <c r="Y14" s="228"/>
      <c r="Z14" s="199">
        <f t="shared" si="8"/>
        <v>0</v>
      </c>
      <c r="AA14" s="227">
        <v>0</v>
      </c>
      <c r="AB14" s="227">
        <v>0</v>
      </c>
      <c r="AC14" s="199">
        <f t="shared" si="6"/>
        <v>0</v>
      </c>
      <c r="AD14" s="245">
        <v>67006.94</v>
      </c>
      <c r="AE14" s="228"/>
      <c r="AF14" s="245">
        <v>0</v>
      </c>
      <c r="AG14" s="228">
        <v>0</v>
      </c>
      <c r="AH14" s="228"/>
      <c r="AI14" s="228"/>
      <c r="AJ14" s="228"/>
      <c r="AK14" s="199">
        <f t="shared" si="7"/>
        <v>0</v>
      </c>
      <c r="AL14" s="85">
        <f t="shared" si="9"/>
        <v>115171.39</v>
      </c>
    </row>
    <row r="15" spans="1:38" s="31" customFormat="1" ht="15">
      <c r="A15" s="57" t="s">
        <v>173</v>
      </c>
      <c r="B15" s="31">
        <v>10</v>
      </c>
      <c r="C15" s="203" t="s">
        <v>174</v>
      </c>
      <c r="D15" s="226"/>
      <c r="E15" s="226"/>
      <c r="F15" s="226">
        <v>9114.63</v>
      </c>
      <c r="G15" s="227"/>
      <c r="H15" s="230"/>
      <c r="I15" s="228"/>
      <c r="J15" s="229"/>
      <c r="K15" s="229"/>
      <c r="L15" s="199">
        <f t="shared" si="3"/>
        <v>9114.63</v>
      </c>
      <c r="M15" s="230"/>
      <c r="N15" s="228"/>
      <c r="O15" s="229"/>
      <c r="P15" s="199">
        <f t="shared" si="4"/>
        <v>0</v>
      </c>
      <c r="Q15" s="228">
        <v>43066.7</v>
      </c>
      <c r="R15" s="229">
        <v>27522.17</v>
      </c>
      <c r="S15" s="229">
        <v>0</v>
      </c>
      <c r="T15" s="228"/>
      <c r="U15" s="199">
        <f t="shared" si="5"/>
        <v>70588.87</v>
      </c>
      <c r="V15" s="229">
        <v>0</v>
      </c>
      <c r="W15" s="227"/>
      <c r="X15" s="228"/>
      <c r="Y15" s="228"/>
      <c r="Z15" s="199">
        <f t="shared" si="8"/>
        <v>0</v>
      </c>
      <c r="AA15" s="227">
        <v>0</v>
      </c>
      <c r="AB15" s="227">
        <v>0</v>
      </c>
      <c r="AC15" s="199">
        <f t="shared" si="6"/>
        <v>0</v>
      </c>
      <c r="AD15" s="245">
        <v>72193.33</v>
      </c>
      <c r="AE15" s="228"/>
      <c r="AF15" s="245">
        <v>0</v>
      </c>
      <c r="AG15" s="228">
        <v>0</v>
      </c>
      <c r="AH15" s="228"/>
      <c r="AI15" s="228"/>
      <c r="AJ15" s="228"/>
      <c r="AK15" s="199">
        <f t="shared" si="7"/>
        <v>0</v>
      </c>
      <c r="AL15" s="85">
        <f t="shared" si="9"/>
        <v>151896.83000000002</v>
      </c>
    </row>
    <row r="16" spans="1:38" s="31" customFormat="1" ht="15">
      <c r="A16" s="57" t="s">
        <v>175</v>
      </c>
      <c r="B16" s="31">
        <v>11</v>
      </c>
      <c r="C16" s="203" t="s">
        <v>176</v>
      </c>
      <c r="D16" s="226">
        <v>118891.02</v>
      </c>
      <c r="E16" s="226"/>
      <c r="F16" s="226"/>
      <c r="G16" s="227"/>
      <c r="H16" s="230">
        <v>696884.81</v>
      </c>
      <c r="I16" s="228"/>
      <c r="J16" s="229"/>
      <c r="K16" s="229"/>
      <c r="L16" s="199">
        <f t="shared" si="3"/>
        <v>815775.8300000001</v>
      </c>
      <c r="M16" s="230">
        <v>184146.73</v>
      </c>
      <c r="N16" s="228"/>
      <c r="O16" s="229"/>
      <c r="P16" s="199">
        <f t="shared" si="4"/>
        <v>184146.73</v>
      </c>
      <c r="Q16" s="228">
        <v>2007663.53</v>
      </c>
      <c r="R16" s="229">
        <v>747893.65</v>
      </c>
      <c r="S16" s="229">
        <v>262849.91</v>
      </c>
      <c r="T16" s="228">
        <v>63338.72</v>
      </c>
      <c r="U16" s="199">
        <f>SUM(Q16:T16)</f>
        <v>3081745.8100000005</v>
      </c>
      <c r="V16" s="229">
        <v>278720.1</v>
      </c>
      <c r="W16" s="227">
        <v>161329.94</v>
      </c>
      <c r="X16" s="228">
        <v>161335.68</v>
      </c>
      <c r="Y16" s="228"/>
      <c r="Z16" s="199">
        <f t="shared" si="8"/>
        <v>601385.72</v>
      </c>
      <c r="AA16" s="227">
        <v>377441.1</v>
      </c>
      <c r="AB16" s="227">
        <v>377441.1</v>
      </c>
      <c r="AC16" s="199">
        <f t="shared" si="6"/>
        <v>754882.2</v>
      </c>
      <c r="AD16" s="245">
        <v>4278946.7</v>
      </c>
      <c r="AE16" s="228"/>
      <c r="AF16" s="245">
        <v>6169982.72</v>
      </c>
      <c r="AG16" s="228">
        <v>0</v>
      </c>
      <c r="AH16" s="228"/>
      <c r="AI16" s="228"/>
      <c r="AJ16" s="228"/>
      <c r="AK16" s="199">
        <f t="shared" si="7"/>
        <v>6169982.72</v>
      </c>
      <c r="AL16" s="85">
        <f t="shared" si="9"/>
        <v>15886865.71</v>
      </c>
    </row>
    <row r="17" spans="1:38" s="31" customFormat="1" ht="15">
      <c r="A17" s="57" t="s">
        <v>177</v>
      </c>
      <c r="B17" s="31">
        <v>12</v>
      </c>
      <c r="C17" s="203" t="s">
        <v>178</v>
      </c>
      <c r="D17" s="226"/>
      <c r="E17" s="226"/>
      <c r="F17" s="226"/>
      <c r="G17" s="227"/>
      <c r="H17" s="230">
        <v>28145.6</v>
      </c>
      <c r="I17" s="228"/>
      <c r="J17" s="229"/>
      <c r="K17" s="229"/>
      <c r="L17" s="199">
        <f t="shared" si="3"/>
        <v>28145.6</v>
      </c>
      <c r="M17" s="230"/>
      <c r="N17" s="228"/>
      <c r="O17" s="229">
        <v>68691.99000000002</v>
      </c>
      <c r="P17" s="199">
        <f t="shared" si="4"/>
        <v>68691.99000000002</v>
      </c>
      <c r="Q17" s="228">
        <v>94251.4</v>
      </c>
      <c r="R17" s="229"/>
      <c r="S17" s="229">
        <v>0</v>
      </c>
      <c r="T17" s="228"/>
      <c r="U17" s="199">
        <f t="shared" si="5"/>
        <v>94251.4</v>
      </c>
      <c r="V17" s="229">
        <v>0</v>
      </c>
      <c r="W17" s="227"/>
      <c r="X17" s="228"/>
      <c r="Y17" s="228"/>
      <c r="Z17" s="199">
        <f t="shared" si="8"/>
        <v>0</v>
      </c>
      <c r="AA17" s="227">
        <v>0</v>
      </c>
      <c r="AB17" s="227">
        <v>0</v>
      </c>
      <c r="AC17" s="199">
        <f t="shared" si="6"/>
        <v>0</v>
      </c>
      <c r="AD17" s="245">
        <v>205324.07</v>
      </c>
      <c r="AE17" s="228"/>
      <c r="AF17" s="245">
        <v>146040.01</v>
      </c>
      <c r="AG17" s="228">
        <v>0</v>
      </c>
      <c r="AH17" s="228"/>
      <c r="AI17" s="228"/>
      <c r="AJ17" s="228"/>
      <c r="AK17" s="199">
        <f t="shared" si="7"/>
        <v>146040.01</v>
      </c>
      <c r="AL17" s="85">
        <f t="shared" si="9"/>
        <v>542453.07</v>
      </c>
    </row>
    <row r="18" spans="1:38" s="31" customFormat="1" ht="15">
      <c r="A18" s="57" t="s">
        <v>179</v>
      </c>
      <c r="B18" s="31">
        <v>13</v>
      </c>
      <c r="C18" s="203" t="s">
        <v>180</v>
      </c>
      <c r="D18" s="231">
        <v>120000</v>
      </c>
      <c r="E18" s="231"/>
      <c r="F18" s="231"/>
      <c r="G18" s="232"/>
      <c r="H18" s="233"/>
      <c r="I18" s="228"/>
      <c r="J18" s="229"/>
      <c r="K18" s="229"/>
      <c r="L18" s="238">
        <f t="shared" si="3"/>
        <v>120000</v>
      </c>
      <c r="M18" s="233"/>
      <c r="N18" s="228">
        <v>403307.56</v>
      </c>
      <c r="O18" s="229"/>
      <c r="P18" s="199">
        <f t="shared" si="4"/>
        <v>403307.56</v>
      </c>
      <c r="Q18" s="228"/>
      <c r="R18" s="229"/>
      <c r="S18" s="229">
        <v>2967241.87</v>
      </c>
      <c r="T18" s="228">
        <v>1479478</v>
      </c>
      <c r="U18" s="199">
        <f t="shared" si="5"/>
        <v>4446719.87</v>
      </c>
      <c r="V18" s="229">
        <v>0</v>
      </c>
      <c r="W18" s="227"/>
      <c r="X18" s="228"/>
      <c r="Y18" s="228"/>
      <c r="Z18" s="199">
        <f t="shared" si="8"/>
        <v>0</v>
      </c>
      <c r="AA18" s="227">
        <v>0</v>
      </c>
      <c r="AB18" s="227">
        <v>0</v>
      </c>
      <c r="AC18" s="199">
        <f t="shared" si="6"/>
        <v>0</v>
      </c>
      <c r="AD18" s="245">
        <v>588606.09</v>
      </c>
      <c r="AE18" s="228"/>
      <c r="AF18" s="245">
        <v>1157009.48</v>
      </c>
      <c r="AG18" s="228">
        <v>0</v>
      </c>
      <c r="AH18" s="228"/>
      <c r="AI18" s="228"/>
      <c r="AJ18" s="228"/>
      <c r="AK18" s="199">
        <f t="shared" si="7"/>
        <v>1157009.48</v>
      </c>
      <c r="AL18" s="85">
        <f t="shared" si="9"/>
        <v>6715642.999999999</v>
      </c>
    </row>
    <row r="19" spans="1:38" s="31" customFormat="1" ht="15">
      <c r="A19" s="57" t="s">
        <v>181</v>
      </c>
      <c r="B19" s="31">
        <v>14</v>
      </c>
      <c r="C19" s="203" t="s">
        <v>182</v>
      </c>
      <c r="D19" s="226"/>
      <c r="E19" s="226"/>
      <c r="F19" s="226">
        <v>26747.41</v>
      </c>
      <c r="G19" s="227"/>
      <c r="H19" s="230">
        <v>18960.14</v>
      </c>
      <c r="I19" s="228"/>
      <c r="J19" s="229"/>
      <c r="K19" s="229"/>
      <c r="L19" s="199">
        <f t="shared" si="3"/>
        <v>45707.55</v>
      </c>
      <c r="M19" s="230">
        <v>377452.83</v>
      </c>
      <c r="N19" s="228"/>
      <c r="O19" s="229"/>
      <c r="P19" s="199">
        <f t="shared" si="4"/>
        <v>377452.83</v>
      </c>
      <c r="Q19" s="228">
        <v>94182.2</v>
      </c>
      <c r="R19" s="229">
        <v>35091.92</v>
      </c>
      <c r="S19" s="229">
        <v>26615.96</v>
      </c>
      <c r="T19" s="228"/>
      <c r="U19" s="199">
        <f t="shared" si="5"/>
        <v>155890.08</v>
      </c>
      <c r="V19" s="229">
        <v>28222.96</v>
      </c>
      <c r="W19" s="227"/>
      <c r="X19" s="228"/>
      <c r="Y19" s="228"/>
      <c r="Z19" s="199">
        <f t="shared" si="8"/>
        <v>28222.96</v>
      </c>
      <c r="AA19" s="227">
        <v>0</v>
      </c>
      <c r="AB19" s="227">
        <v>0</v>
      </c>
      <c r="AC19" s="199">
        <f t="shared" si="6"/>
        <v>0</v>
      </c>
      <c r="AD19" s="245">
        <v>241881.01</v>
      </c>
      <c r="AE19" s="228"/>
      <c r="AF19" s="245">
        <v>258938.47</v>
      </c>
      <c r="AG19" s="228">
        <v>0</v>
      </c>
      <c r="AH19" s="228"/>
      <c r="AI19" s="228"/>
      <c r="AJ19" s="228"/>
      <c r="AK19" s="199">
        <f t="shared" si="7"/>
        <v>258938.47</v>
      </c>
      <c r="AL19" s="85">
        <f t="shared" si="9"/>
        <v>1108092.9</v>
      </c>
    </row>
    <row r="20" spans="1:38" s="31" customFormat="1" ht="15">
      <c r="A20" s="57" t="s">
        <v>183</v>
      </c>
      <c r="B20" s="31">
        <v>15</v>
      </c>
      <c r="C20" s="203" t="s">
        <v>184</v>
      </c>
      <c r="D20" s="226">
        <v>150000</v>
      </c>
      <c r="E20" s="226"/>
      <c r="F20" s="226">
        <v>304845.85</v>
      </c>
      <c r="G20" s="227"/>
      <c r="H20" s="230"/>
      <c r="I20" s="228"/>
      <c r="J20" s="229"/>
      <c r="K20" s="229"/>
      <c r="L20" s="199">
        <f t="shared" si="3"/>
        <v>454845.85</v>
      </c>
      <c r="M20" s="230"/>
      <c r="N20" s="228"/>
      <c r="O20" s="229">
        <v>92883.44</v>
      </c>
      <c r="P20" s="199">
        <f t="shared" si="4"/>
        <v>92883.44</v>
      </c>
      <c r="Q20" s="228">
        <v>91218.82</v>
      </c>
      <c r="R20" s="229"/>
      <c r="S20" s="229">
        <v>88013.16</v>
      </c>
      <c r="T20" s="228"/>
      <c r="U20" s="199">
        <f t="shared" si="5"/>
        <v>179231.98</v>
      </c>
      <c r="V20" s="229">
        <v>93327.17</v>
      </c>
      <c r="W20" s="227">
        <v>75970.25</v>
      </c>
      <c r="X20" s="228">
        <v>23720.14</v>
      </c>
      <c r="Y20" s="228"/>
      <c r="Z20" s="199">
        <f t="shared" si="8"/>
        <v>193017.56</v>
      </c>
      <c r="AA20" s="227">
        <v>177736.96</v>
      </c>
      <c r="AB20" s="227">
        <v>177736.96</v>
      </c>
      <c r="AC20" s="199">
        <f t="shared" si="6"/>
        <v>355473.92</v>
      </c>
      <c r="AD20" s="245"/>
      <c r="AE20" s="228"/>
      <c r="AF20" s="245">
        <v>0</v>
      </c>
      <c r="AG20" s="228">
        <v>0</v>
      </c>
      <c r="AH20" s="228"/>
      <c r="AI20" s="228"/>
      <c r="AJ20" s="228"/>
      <c r="AK20" s="199">
        <f t="shared" si="7"/>
        <v>0</v>
      </c>
      <c r="AL20" s="85">
        <f t="shared" si="9"/>
        <v>1275452.75</v>
      </c>
    </row>
    <row r="21" spans="1:38" s="31" customFormat="1" ht="15">
      <c r="A21" s="57" t="s">
        <v>185</v>
      </c>
      <c r="B21" s="31">
        <v>16</v>
      </c>
      <c r="C21" s="203" t="s">
        <v>186</v>
      </c>
      <c r="D21" s="226"/>
      <c r="E21" s="226"/>
      <c r="F21" s="226"/>
      <c r="G21" s="227"/>
      <c r="H21" s="230"/>
      <c r="I21" s="228"/>
      <c r="J21" s="229"/>
      <c r="K21" s="229"/>
      <c r="L21" s="199">
        <f t="shared" si="3"/>
        <v>0</v>
      </c>
      <c r="M21" s="230">
        <v>314679.3</v>
      </c>
      <c r="N21" s="228"/>
      <c r="O21" s="229"/>
      <c r="P21" s="199">
        <f t="shared" si="4"/>
        <v>314679.3</v>
      </c>
      <c r="Q21" s="228"/>
      <c r="R21" s="229"/>
      <c r="S21" s="229">
        <v>40637.43</v>
      </c>
      <c r="T21" s="228"/>
      <c r="U21" s="199">
        <f t="shared" si="5"/>
        <v>40637.43</v>
      </c>
      <c r="V21" s="229">
        <v>43091.02</v>
      </c>
      <c r="W21" s="227"/>
      <c r="X21" s="228"/>
      <c r="Y21" s="228"/>
      <c r="Z21" s="199">
        <f t="shared" si="8"/>
        <v>43091.02</v>
      </c>
      <c r="AA21" s="227">
        <v>0</v>
      </c>
      <c r="AB21" s="227">
        <v>0</v>
      </c>
      <c r="AC21" s="199">
        <f t="shared" si="6"/>
        <v>0</v>
      </c>
      <c r="AD21" s="245">
        <v>25415.15</v>
      </c>
      <c r="AE21" s="228"/>
      <c r="AF21" s="245">
        <v>0</v>
      </c>
      <c r="AG21" s="228">
        <v>0</v>
      </c>
      <c r="AH21" s="228"/>
      <c r="AI21" s="228"/>
      <c r="AJ21" s="228"/>
      <c r="AK21" s="199">
        <f t="shared" si="7"/>
        <v>0</v>
      </c>
      <c r="AL21" s="85">
        <f t="shared" si="9"/>
        <v>423822.9</v>
      </c>
    </row>
    <row r="22" spans="1:38" s="31" customFormat="1" ht="15">
      <c r="A22" s="57" t="s">
        <v>187</v>
      </c>
      <c r="B22" s="31">
        <v>17</v>
      </c>
      <c r="C22" s="203" t="s">
        <v>188</v>
      </c>
      <c r="D22" s="226"/>
      <c r="E22" s="226"/>
      <c r="F22" s="226"/>
      <c r="G22" s="227"/>
      <c r="H22" s="230"/>
      <c r="I22" s="228"/>
      <c r="J22" s="229"/>
      <c r="K22" s="229"/>
      <c r="L22" s="199">
        <f t="shared" si="3"/>
        <v>0</v>
      </c>
      <c r="M22" s="230"/>
      <c r="N22" s="228"/>
      <c r="O22" s="229"/>
      <c r="P22" s="199">
        <f t="shared" si="4"/>
        <v>0</v>
      </c>
      <c r="Q22" s="228"/>
      <c r="R22" s="229"/>
      <c r="S22" s="229">
        <v>0</v>
      </c>
      <c r="T22" s="228"/>
      <c r="U22" s="199">
        <f t="shared" si="5"/>
        <v>0</v>
      </c>
      <c r="V22" s="229">
        <v>0</v>
      </c>
      <c r="W22" s="227"/>
      <c r="X22" s="228"/>
      <c r="Y22" s="228"/>
      <c r="Z22" s="199">
        <f t="shared" si="8"/>
        <v>0</v>
      </c>
      <c r="AA22" s="227">
        <v>0</v>
      </c>
      <c r="AB22" s="227">
        <v>0</v>
      </c>
      <c r="AC22" s="199">
        <f t="shared" si="6"/>
        <v>0</v>
      </c>
      <c r="AD22" s="245"/>
      <c r="AE22" s="228"/>
      <c r="AF22" s="245">
        <v>0</v>
      </c>
      <c r="AG22" s="228">
        <v>0</v>
      </c>
      <c r="AH22" s="228"/>
      <c r="AI22" s="228"/>
      <c r="AJ22" s="228"/>
      <c r="AK22" s="199">
        <f t="shared" si="7"/>
        <v>0</v>
      </c>
      <c r="AL22" s="85">
        <f t="shared" si="9"/>
        <v>0</v>
      </c>
    </row>
    <row r="23" spans="1:38" s="31" customFormat="1" ht="15">
      <c r="A23" s="57" t="s">
        <v>189</v>
      </c>
      <c r="B23" s="31">
        <v>18</v>
      </c>
      <c r="C23" s="203" t="s">
        <v>190</v>
      </c>
      <c r="D23" s="226"/>
      <c r="E23" s="226"/>
      <c r="F23" s="226"/>
      <c r="G23" s="227"/>
      <c r="H23" s="230"/>
      <c r="I23" s="228"/>
      <c r="J23" s="229"/>
      <c r="K23" s="229"/>
      <c r="L23" s="199">
        <f t="shared" si="3"/>
        <v>0</v>
      </c>
      <c r="M23" s="230"/>
      <c r="N23" s="228"/>
      <c r="O23" s="229"/>
      <c r="P23" s="199">
        <f t="shared" si="4"/>
        <v>0</v>
      </c>
      <c r="Q23" s="228"/>
      <c r="R23" s="229"/>
      <c r="S23" s="229">
        <v>0</v>
      </c>
      <c r="T23" s="228"/>
      <c r="U23" s="199">
        <f t="shared" si="5"/>
        <v>0</v>
      </c>
      <c r="V23" s="229">
        <v>0</v>
      </c>
      <c r="W23" s="227"/>
      <c r="X23" s="228"/>
      <c r="Y23" s="228"/>
      <c r="Z23" s="199">
        <f t="shared" si="8"/>
        <v>0</v>
      </c>
      <c r="AA23" s="227">
        <v>0</v>
      </c>
      <c r="AB23" s="227">
        <v>0</v>
      </c>
      <c r="AC23" s="199">
        <f t="shared" si="6"/>
        <v>0</v>
      </c>
      <c r="AD23" s="245"/>
      <c r="AE23" s="228"/>
      <c r="AF23" s="245">
        <v>0</v>
      </c>
      <c r="AG23" s="228">
        <v>0</v>
      </c>
      <c r="AH23" s="228"/>
      <c r="AI23" s="228"/>
      <c r="AJ23" s="228"/>
      <c r="AK23" s="199">
        <f t="shared" si="7"/>
        <v>0</v>
      </c>
      <c r="AL23" s="85">
        <f t="shared" si="9"/>
        <v>0</v>
      </c>
    </row>
    <row r="24" spans="1:38" s="31" customFormat="1" ht="15">
      <c r="A24" s="57" t="s">
        <v>191</v>
      </c>
      <c r="B24" s="31">
        <v>19</v>
      </c>
      <c r="C24" s="203" t="s">
        <v>192</v>
      </c>
      <c r="D24" s="226"/>
      <c r="E24" s="226"/>
      <c r="F24" s="226">
        <v>26533.13</v>
      </c>
      <c r="G24" s="227"/>
      <c r="H24" s="230"/>
      <c r="I24" s="228"/>
      <c r="J24" s="229"/>
      <c r="K24" s="229"/>
      <c r="L24" s="199">
        <f t="shared" si="3"/>
        <v>26533.13</v>
      </c>
      <c r="M24" s="230">
        <v>88226.66</v>
      </c>
      <c r="N24" s="228"/>
      <c r="O24" s="229"/>
      <c r="P24" s="199">
        <f t="shared" si="4"/>
        <v>88226.66</v>
      </c>
      <c r="Q24" s="228">
        <v>92479.53</v>
      </c>
      <c r="R24" s="229">
        <v>34097.57</v>
      </c>
      <c r="S24" s="229">
        <v>28404.1</v>
      </c>
      <c r="T24" s="228"/>
      <c r="U24" s="199">
        <f t="shared" si="5"/>
        <v>154981.2</v>
      </c>
      <c r="V24" s="229">
        <v>30119.07</v>
      </c>
      <c r="W24" s="227"/>
      <c r="X24" s="228"/>
      <c r="Y24" s="228"/>
      <c r="Z24" s="199">
        <f t="shared" si="8"/>
        <v>30119.07</v>
      </c>
      <c r="AA24" s="227">
        <v>0</v>
      </c>
      <c r="AB24" s="227">
        <v>0</v>
      </c>
      <c r="AC24" s="199">
        <f t="shared" si="6"/>
        <v>0</v>
      </c>
      <c r="AD24" s="245">
        <v>173334.97</v>
      </c>
      <c r="AE24" s="228"/>
      <c r="AF24" s="245">
        <v>0</v>
      </c>
      <c r="AG24" s="228">
        <v>0</v>
      </c>
      <c r="AH24" s="228"/>
      <c r="AI24" s="228"/>
      <c r="AJ24" s="228"/>
      <c r="AK24" s="199">
        <f t="shared" si="7"/>
        <v>0</v>
      </c>
      <c r="AL24" s="85">
        <f t="shared" si="9"/>
        <v>473195.03</v>
      </c>
    </row>
    <row r="25" spans="1:38" s="31" customFormat="1" ht="15">
      <c r="A25" s="57" t="s">
        <v>193</v>
      </c>
      <c r="B25" s="31">
        <v>20</v>
      </c>
      <c r="C25" s="203" t="s">
        <v>194</v>
      </c>
      <c r="D25" s="226"/>
      <c r="E25" s="226"/>
      <c r="F25" s="226"/>
      <c r="G25" s="227"/>
      <c r="H25" s="230"/>
      <c r="I25" s="228"/>
      <c r="J25" s="229"/>
      <c r="K25" s="229"/>
      <c r="L25" s="199">
        <f t="shared" si="3"/>
        <v>0</v>
      </c>
      <c r="M25" s="230"/>
      <c r="N25" s="228"/>
      <c r="O25" s="229"/>
      <c r="P25" s="199">
        <f t="shared" si="4"/>
        <v>0</v>
      </c>
      <c r="Q25" s="228"/>
      <c r="R25" s="229"/>
      <c r="S25" s="229">
        <v>0</v>
      </c>
      <c r="T25" s="228"/>
      <c r="U25" s="199">
        <f t="shared" si="5"/>
        <v>0</v>
      </c>
      <c r="V25" s="229">
        <v>0</v>
      </c>
      <c r="W25" s="227"/>
      <c r="X25" s="228"/>
      <c r="Y25" s="228"/>
      <c r="Z25" s="199">
        <f t="shared" si="8"/>
        <v>0</v>
      </c>
      <c r="AA25" s="227">
        <v>0</v>
      </c>
      <c r="AB25" s="227">
        <v>0</v>
      </c>
      <c r="AC25" s="199">
        <f t="shared" si="6"/>
        <v>0</v>
      </c>
      <c r="AD25" s="245"/>
      <c r="AE25" s="228"/>
      <c r="AF25" s="245">
        <v>0</v>
      </c>
      <c r="AG25" s="228">
        <v>0</v>
      </c>
      <c r="AH25" s="228"/>
      <c r="AI25" s="228"/>
      <c r="AJ25" s="228"/>
      <c r="AK25" s="199">
        <f t="shared" si="7"/>
        <v>0</v>
      </c>
      <c r="AL25" s="85">
        <f t="shared" si="9"/>
        <v>0</v>
      </c>
    </row>
    <row r="26" spans="1:38" s="31" customFormat="1" ht="15">
      <c r="A26" s="57" t="s">
        <v>195</v>
      </c>
      <c r="B26" s="31">
        <v>21</v>
      </c>
      <c r="C26" s="203" t="s">
        <v>196</v>
      </c>
      <c r="D26" s="226">
        <v>150000</v>
      </c>
      <c r="E26" s="226">
        <v>284817.21</v>
      </c>
      <c r="F26" s="226"/>
      <c r="G26" s="227">
        <v>161196.91</v>
      </c>
      <c r="H26" s="230"/>
      <c r="I26" s="228"/>
      <c r="J26" s="229"/>
      <c r="K26" s="229"/>
      <c r="L26" s="199">
        <f t="shared" si="3"/>
        <v>596014.12</v>
      </c>
      <c r="M26" s="230"/>
      <c r="N26" s="228"/>
      <c r="O26" s="229"/>
      <c r="P26" s="199">
        <f t="shared" si="4"/>
        <v>0</v>
      </c>
      <c r="Q26" s="228">
        <v>144422.84</v>
      </c>
      <c r="R26" s="229">
        <v>53811.38</v>
      </c>
      <c r="S26" s="229">
        <v>119582.95</v>
      </c>
      <c r="T26" s="228">
        <v>40524.67</v>
      </c>
      <c r="U26" s="199">
        <f t="shared" si="5"/>
        <v>358341.83999999997</v>
      </c>
      <c r="V26" s="229">
        <v>126803.05</v>
      </c>
      <c r="W26" s="227">
        <v>103220.31</v>
      </c>
      <c r="X26" s="228">
        <v>103223.98</v>
      </c>
      <c r="Y26" s="228"/>
      <c r="Z26" s="199">
        <f t="shared" si="8"/>
        <v>333247.33999999997</v>
      </c>
      <c r="AA26" s="227">
        <v>241490.12</v>
      </c>
      <c r="AB26" s="227">
        <v>241490.12</v>
      </c>
      <c r="AC26" s="199">
        <f t="shared" si="6"/>
        <v>482980.24</v>
      </c>
      <c r="AD26" s="245">
        <v>515913</v>
      </c>
      <c r="AE26" s="228"/>
      <c r="AF26" s="245">
        <v>1280921.61</v>
      </c>
      <c r="AG26" s="228">
        <v>0</v>
      </c>
      <c r="AH26" s="228"/>
      <c r="AI26" s="228"/>
      <c r="AJ26" s="228"/>
      <c r="AK26" s="199">
        <f t="shared" si="7"/>
        <v>1280921.61</v>
      </c>
      <c r="AL26" s="85">
        <f t="shared" si="9"/>
        <v>3567418.15</v>
      </c>
    </row>
    <row r="27" spans="1:38" s="31" customFormat="1" ht="15">
      <c r="A27" s="57" t="s">
        <v>197</v>
      </c>
      <c r="B27" s="31">
        <v>22</v>
      </c>
      <c r="C27" s="203" t="s">
        <v>198</v>
      </c>
      <c r="D27" s="226"/>
      <c r="E27" s="226"/>
      <c r="F27" s="226"/>
      <c r="G27" s="227"/>
      <c r="H27" s="230"/>
      <c r="I27" s="228"/>
      <c r="J27" s="229"/>
      <c r="K27" s="229"/>
      <c r="L27" s="199">
        <f t="shared" si="3"/>
        <v>0</v>
      </c>
      <c r="M27" s="230"/>
      <c r="N27" s="228"/>
      <c r="O27" s="229">
        <v>18762.07</v>
      </c>
      <c r="P27" s="199">
        <f t="shared" si="4"/>
        <v>18762.07</v>
      </c>
      <c r="Q27" s="228"/>
      <c r="R27" s="229"/>
      <c r="S27" s="229">
        <v>0</v>
      </c>
      <c r="T27" s="228"/>
      <c r="U27" s="199">
        <f t="shared" si="5"/>
        <v>0</v>
      </c>
      <c r="V27" s="229">
        <v>0</v>
      </c>
      <c r="W27" s="227"/>
      <c r="X27" s="228"/>
      <c r="Y27" s="228"/>
      <c r="Z27" s="199">
        <f t="shared" si="8"/>
        <v>0</v>
      </c>
      <c r="AA27" s="227">
        <v>0</v>
      </c>
      <c r="AB27" s="227">
        <v>0</v>
      </c>
      <c r="AC27" s="199">
        <f t="shared" si="6"/>
        <v>0</v>
      </c>
      <c r="AD27" s="245"/>
      <c r="AE27" s="228"/>
      <c r="AF27" s="245">
        <v>0</v>
      </c>
      <c r="AG27" s="228">
        <v>0</v>
      </c>
      <c r="AH27" s="228"/>
      <c r="AI27" s="228"/>
      <c r="AJ27" s="228"/>
      <c r="AK27" s="199">
        <f t="shared" si="7"/>
        <v>0</v>
      </c>
      <c r="AL27" s="85">
        <f t="shared" si="9"/>
        <v>18762.07</v>
      </c>
    </row>
    <row r="28" spans="1:38" s="31" customFormat="1" ht="15">
      <c r="A28" s="57" t="s">
        <v>199</v>
      </c>
      <c r="B28" s="31">
        <v>23</v>
      </c>
      <c r="C28" s="203" t="s">
        <v>200</v>
      </c>
      <c r="D28" s="226"/>
      <c r="E28" s="226"/>
      <c r="F28" s="226"/>
      <c r="G28" s="227">
        <v>29451.36</v>
      </c>
      <c r="H28" s="230"/>
      <c r="I28" s="228"/>
      <c r="J28" s="229"/>
      <c r="K28" s="229"/>
      <c r="L28" s="199">
        <f t="shared" si="3"/>
        <v>29451.36</v>
      </c>
      <c r="M28" s="230"/>
      <c r="N28" s="228"/>
      <c r="O28" s="229"/>
      <c r="P28" s="199">
        <f t="shared" si="4"/>
        <v>0</v>
      </c>
      <c r="Q28" s="228"/>
      <c r="R28" s="229"/>
      <c r="S28" s="229">
        <v>0</v>
      </c>
      <c r="T28" s="228"/>
      <c r="U28" s="199">
        <f t="shared" si="5"/>
        <v>0</v>
      </c>
      <c r="V28" s="229">
        <v>0</v>
      </c>
      <c r="W28" s="227"/>
      <c r="X28" s="228"/>
      <c r="Y28" s="228"/>
      <c r="Z28" s="199">
        <f t="shared" si="8"/>
        <v>0</v>
      </c>
      <c r="AA28" s="227">
        <v>0</v>
      </c>
      <c r="AB28" s="227">
        <v>0</v>
      </c>
      <c r="AC28" s="199">
        <f t="shared" si="6"/>
        <v>0</v>
      </c>
      <c r="AD28" s="245"/>
      <c r="AE28" s="228"/>
      <c r="AF28" s="245">
        <v>0</v>
      </c>
      <c r="AG28" s="228">
        <v>0</v>
      </c>
      <c r="AH28" s="228"/>
      <c r="AI28" s="228"/>
      <c r="AJ28" s="228"/>
      <c r="AK28" s="199">
        <f t="shared" si="7"/>
        <v>0</v>
      </c>
      <c r="AL28" s="85">
        <f t="shared" si="9"/>
        <v>29451.36</v>
      </c>
    </row>
    <row r="29" spans="1:38" s="31" customFormat="1" ht="15">
      <c r="A29" s="57" t="s">
        <v>201</v>
      </c>
      <c r="B29" s="31">
        <v>24</v>
      </c>
      <c r="C29" s="203" t="s">
        <v>202</v>
      </c>
      <c r="D29" s="226"/>
      <c r="E29" s="226"/>
      <c r="F29" s="226"/>
      <c r="G29" s="227">
        <v>83310.03</v>
      </c>
      <c r="H29" s="230"/>
      <c r="I29" s="228"/>
      <c r="J29" s="229"/>
      <c r="K29" s="229">
        <v>260943.75</v>
      </c>
      <c r="L29" s="199">
        <f t="shared" si="3"/>
        <v>344253.78</v>
      </c>
      <c r="M29" s="230">
        <v>172881.33</v>
      </c>
      <c r="N29" s="228"/>
      <c r="O29" s="229"/>
      <c r="P29" s="199">
        <f t="shared" si="4"/>
        <v>172881.33</v>
      </c>
      <c r="Q29" s="228"/>
      <c r="R29" s="229"/>
      <c r="S29" s="229">
        <v>18368.03</v>
      </c>
      <c r="T29" s="228"/>
      <c r="U29" s="199">
        <f t="shared" si="5"/>
        <v>18368.03</v>
      </c>
      <c r="V29" s="229">
        <v>19477.05</v>
      </c>
      <c r="W29" s="227">
        <v>15854.72</v>
      </c>
      <c r="X29" s="228"/>
      <c r="Y29" s="228"/>
      <c r="Z29" s="199">
        <f t="shared" si="8"/>
        <v>35331.77</v>
      </c>
      <c r="AA29" s="227">
        <v>37093.07</v>
      </c>
      <c r="AB29" s="227">
        <v>37093.07</v>
      </c>
      <c r="AC29" s="199">
        <f t="shared" si="6"/>
        <v>74186.14</v>
      </c>
      <c r="AD29" s="245"/>
      <c r="AE29" s="228"/>
      <c r="AF29" s="245">
        <v>0</v>
      </c>
      <c r="AG29" s="228">
        <v>0</v>
      </c>
      <c r="AH29" s="228"/>
      <c r="AI29" s="228"/>
      <c r="AJ29" s="228"/>
      <c r="AK29" s="199">
        <f t="shared" si="7"/>
        <v>0</v>
      </c>
      <c r="AL29" s="85">
        <f t="shared" si="9"/>
        <v>645021.05</v>
      </c>
    </row>
    <row r="30" spans="1:38" s="31" customFormat="1" ht="15">
      <c r="A30" s="57" t="s">
        <v>203</v>
      </c>
      <c r="B30" s="31">
        <v>25</v>
      </c>
      <c r="C30" s="203" t="s">
        <v>204</v>
      </c>
      <c r="D30" s="226"/>
      <c r="E30" s="226"/>
      <c r="F30" s="226">
        <v>80086.85</v>
      </c>
      <c r="G30" s="227"/>
      <c r="H30" s="230">
        <v>87601.6</v>
      </c>
      <c r="I30" s="228"/>
      <c r="J30" s="229"/>
      <c r="K30" s="229"/>
      <c r="L30" s="199">
        <f t="shared" si="3"/>
        <v>167688.45</v>
      </c>
      <c r="M30" s="230">
        <v>137837.05</v>
      </c>
      <c r="N30" s="228"/>
      <c r="O30" s="229">
        <v>94444.51999999999</v>
      </c>
      <c r="P30" s="199">
        <f t="shared" si="4"/>
        <v>232281.56999999998</v>
      </c>
      <c r="Q30" s="228">
        <v>53741.04</v>
      </c>
      <c r="R30" s="229"/>
      <c r="S30" s="229">
        <v>95850.01</v>
      </c>
      <c r="T30" s="228">
        <v>8301.8</v>
      </c>
      <c r="U30" s="199">
        <f t="shared" si="5"/>
        <v>157892.84999999998</v>
      </c>
      <c r="V30" s="229">
        <v>101637.19</v>
      </c>
      <c r="W30" s="227">
        <v>21145.49</v>
      </c>
      <c r="X30" s="228">
        <v>21146.24</v>
      </c>
      <c r="Y30" s="228"/>
      <c r="Z30" s="199">
        <f t="shared" si="8"/>
        <v>143928.92</v>
      </c>
      <c r="AA30" s="227">
        <v>49471.15</v>
      </c>
      <c r="AB30" s="227">
        <v>49471.15</v>
      </c>
      <c r="AC30" s="199">
        <f t="shared" si="6"/>
        <v>98942.3</v>
      </c>
      <c r="AD30" s="245">
        <v>515973.7</v>
      </c>
      <c r="AE30" s="228"/>
      <c r="AF30" s="245">
        <v>816274.77</v>
      </c>
      <c r="AG30" s="228">
        <v>0</v>
      </c>
      <c r="AH30" s="228"/>
      <c r="AI30" s="228"/>
      <c r="AJ30" s="228"/>
      <c r="AK30" s="199">
        <f t="shared" si="7"/>
        <v>816274.77</v>
      </c>
      <c r="AL30" s="85">
        <f t="shared" si="9"/>
        <v>2132982.56</v>
      </c>
    </row>
    <row r="31" spans="1:38" s="31" customFormat="1" ht="15">
      <c r="A31" s="57" t="s">
        <v>205</v>
      </c>
      <c r="B31" s="31">
        <v>26</v>
      </c>
      <c r="C31" s="203" t="s">
        <v>206</v>
      </c>
      <c r="D31" s="226"/>
      <c r="E31" s="226"/>
      <c r="F31" s="226"/>
      <c r="G31" s="227">
        <v>88306.13</v>
      </c>
      <c r="H31" s="230"/>
      <c r="I31" s="228"/>
      <c r="J31" s="229"/>
      <c r="K31" s="229"/>
      <c r="L31" s="199">
        <f t="shared" si="3"/>
        <v>88306.13</v>
      </c>
      <c r="M31" s="230">
        <v>248559.77</v>
      </c>
      <c r="N31" s="228"/>
      <c r="O31" s="229"/>
      <c r="P31" s="199">
        <f t="shared" si="4"/>
        <v>248559.77</v>
      </c>
      <c r="Q31" s="228">
        <v>187653.34</v>
      </c>
      <c r="R31" s="229">
        <v>69918.9</v>
      </c>
      <c r="S31" s="229">
        <v>60736.8</v>
      </c>
      <c r="T31" s="228"/>
      <c r="U31" s="199">
        <f t="shared" si="5"/>
        <v>318309.04</v>
      </c>
      <c r="V31" s="229">
        <v>64403.94</v>
      </c>
      <c r="W31" s="227"/>
      <c r="X31" s="228"/>
      <c r="Y31" s="228"/>
      <c r="Z31" s="199">
        <f t="shared" si="8"/>
        <v>64403.94</v>
      </c>
      <c r="AA31" s="227">
        <v>0</v>
      </c>
      <c r="AB31" s="227">
        <v>0</v>
      </c>
      <c r="AC31" s="199">
        <f t="shared" si="6"/>
        <v>0</v>
      </c>
      <c r="AD31" s="245">
        <v>664782.84</v>
      </c>
      <c r="AE31" s="228"/>
      <c r="AF31" s="245">
        <v>1275998.48</v>
      </c>
      <c r="AG31" s="228">
        <v>0</v>
      </c>
      <c r="AH31" s="228"/>
      <c r="AI31" s="228"/>
      <c r="AJ31" s="228"/>
      <c r="AK31" s="199">
        <f t="shared" si="7"/>
        <v>1275998.48</v>
      </c>
      <c r="AL31" s="85">
        <f t="shared" si="9"/>
        <v>2660360.1999999997</v>
      </c>
    </row>
    <row r="32" spans="1:38" s="31" customFormat="1" ht="15">
      <c r="A32" s="57" t="s">
        <v>207</v>
      </c>
      <c r="B32" s="31">
        <v>27</v>
      </c>
      <c r="C32" s="203" t="s">
        <v>208</v>
      </c>
      <c r="D32" s="226"/>
      <c r="E32" s="226"/>
      <c r="F32" s="226"/>
      <c r="G32" s="227">
        <v>85646.13</v>
      </c>
      <c r="H32" s="230"/>
      <c r="I32" s="228"/>
      <c r="J32" s="229"/>
      <c r="K32" s="229"/>
      <c r="L32" s="199">
        <f t="shared" si="3"/>
        <v>85646.13</v>
      </c>
      <c r="M32" s="230">
        <v>23396.99</v>
      </c>
      <c r="N32" s="228"/>
      <c r="O32" s="229"/>
      <c r="P32" s="199">
        <f t="shared" si="4"/>
        <v>23396.99</v>
      </c>
      <c r="Q32" s="228"/>
      <c r="R32" s="229"/>
      <c r="S32" s="229">
        <v>67578.53</v>
      </c>
      <c r="T32" s="228"/>
      <c r="U32" s="199">
        <f t="shared" si="5"/>
        <v>67578.53</v>
      </c>
      <c r="V32" s="229">
        <v>71658.74</v>
      </c>
      <c r="W32" s="227"/>
      <c r="X32" s="228"/>
      <c r="Y32" s="228"/>
      <c r="Z32" s="199">
        <f t="shared" si="8"/>
        <v>71658.74</v>
      </c>
      <c r="AA32" s="227">
        <v>0</v>
      </c>
      <c r="AB32" s="227">
        <v>0</v>
      </c>
      <c r="AC32" s="199">
        <f t="shared" si="6"/>
        <v>0</v>
      </c>
      <c r="AD32" s="245">
        <v>327180.65</v>
      </c>
      <c r="AE32" s="228"/>
      <c r="AF32" s="245">
        <v>230347.93</v>
      </c>
      <c r="AG32" s="228">
        <v>0</v>
      </c>
      <c r="AH32" s="228"/>
      <c r="AI32" s="228"/>
      <c r="AJ32" s="228"/>
      <c r="AK32" s="199">
        <f t="shared" si="7"/>
        <v>230347.93</v>
      </c>
      <c r="AL32" s="85">
        <f t="shared" si="9"/>
        <v>805808.9700000001</v>
      </c>
    </row>
    <row r="33" spans="1:38" s="31" customFormat="1" ht="15">
      <c r="A33" s="57" t="s">
        <v>209</v>
      </c>
      <c r="B33" s="31">
        <v>28</v>
      </c>
      <c r="C33" s="203" t="s">
        <v>210</v>
      </c>
      <c r="D33" s="226"/>
      <c r="E33" s="226"/>
      <c r="F33" s="226"/>
      <c r="G33" s="227"/>
      <c r="H33" s="230"/>
      <c r="I33" s="228"/>
      <c r="J33" s="229"/>
      <c r="K33" s="229"/>
      <c r="L33" s="199">
        <f t="shared" si="3"/>
        <v>0</v>
      </c>
      <c r="M33" s="230">
        <v>68355.55</v>
      </c>
      <c r="N33" s="228"/>
      <c r="O33" s="229"/>
      <c r="P33" s="199">
        <f t="shared" si="4"/>
        <v>68355.55</v>
      </c>
      <c r="Q33" s="228"/>
      <c r="R33" s="229"/>
      <c r="S33" s="229">
        <v>28238.2</v>
      </c>
      <c r="T33" s="228">
        <v>9569.45</v>
      </c>
      <c r="U33" s="199">
        <f t="shared" si="5"/>
        <v>37807.65</v>
      </c>
      <c r="V33" s="229">
        <v>29943.14</v>
      </c>
      <c r="W33" s="227">
        <v>24374.34</v>
      </c>
      <c r="X33" s="228">
        <v>7506.16</v>
      </c>
      <c r="Y33" s="228"/>
      <c r="Z33" s="199">
        <f t="shared" si="8"/>
        <v>61823.64</v>
      </c>
      <c r="AA33" s="227">
        <v>57025.23</v>
      </c>
      <c r="AB33" s="227">
        <v>57025.23</v>
      </c>
      <c r="AC33" s="199">
        <f t="shared" si="6"/>
        <v>114050.46</v>
      </c>
      <c r="AD33" s="245"/>
      <c r="AE33" s="228"/>
      <c r="AF33" s="245">
        <v>0</v>
      </c>
      <c r="AG33" s="228">
        <v>0</v>
      </c>
      <c r="AH33" s="228"/>
      <c r="AI33" s="228"/>
      <c r="AJ33" s="228"/>
      <c r="AK33" s="199">
        <f t="shared" si="7"/>
        <v>0</v>
      </c>
      <c r="AL33" s="85">
        <f t="shared" si="9"/>
        <v>282037.3</v>
      </c>
    </row>
    <row r="34" spans="1:38" s="31" customFormat="1" ht="15">
      <c r="A34" s="57" t="s">
        <v>211</v>
      </c>
      <c r="B34" s="31">
        <v>29</v>
      </c>
      <c r="C34" s="203" t="s">
        <v>212</v>
      </c>
      <c r="D34" s="226">
        <v>150000</v>
      </c>
      <c r="E34" s="226">
        <v>416513.63</v>
      </c>
      <c r="F34" s="226">
        <v>426678.34</v>
      </c>
      <c r="G34" s="227">
        <v>446106.37</v>
      </c>
      <c r="H34" s="230"/>
      <c r="I34" s="228"/>
      <c r="J34" s="229"/>
      <c r="K34" s="229"/>
      <c r="L34" s="199">
        <f t="shared" si="3"/>
        <v>1439298.3399999999</v>
      </c>
      <c r="M34" s="230">
        <v>26223.16</v>
      </c>
      <c r="N34" s="228"/>
      <c r="O34" s="229">
        <v>43276.64</v>
      </c>
      <c r="P34" s="199">
        <f t="shared" si="4"/>
        <v>69499.8</v>
      </c>
      <c r="Q34" s="228">
        <v>594681.38</v>
      </c>
      <c r="R34" s="229">
        <v>221518.71</v>
      </c>
      <c r="S34" s="229">
        <v>91136.37</v>
      </c>
      <c r="T34" s="228"/>
      <c r="U34" s="199">
        <f t="shared" si="5"/>
        <v>907336.46</v>
      </c>
      <c r="V34" s="229">
        <v>96638.93</v>
      </c>
      <c r="W34" s="227">
        <v>108480.81</v>
      </c>
      <c r="X34" s="228"/>
      <c r="Y34" s="228"/>
      <c r="Z34" s="199">
        <f t="shared" si="8"/>
        <v>205119.74</v>
      </c>
      <c r="AA34" s="227">
        <v>253797.37</v>
      </c>
      <c r="AB34" s="227">
        <v>253797.37</v>
      </c>
      <c r="AC34" s="199">
        <f t="shared" si="6"/>
        <v>507594.74</v>
      </c>
      <c r="AD34" s="245"/>
      <c r="AE34" s="228"/>
      <c r="AF34" s="245">
        <v>0</v>
      </c>
      <c r="AG34" s="228">
        <v>0</v>
      </c>
      <c r="AH34" s="228"/>
      <c r="AI34" s="228"/>
      <c r="AJ34" s="228"/>
      <c r="AK34" s="199">
        <f t="shared" si="7"/>
        <v>0</v>
      </c>
      <c r="AL34" s="85">
        <f t="shared" si="9"/>
        <v>3128849.08</v>
      </c>
    </row>
    <row r="35" spans="1:38" s="31" customFormat="1" ht="15">
      <c r="A35" s="57" t="s">
        <v>213</v>
      </c>
      <c r="B35" s="31">
        <v>30</v>
      </c>
      <c r="C35" s="203" t="s">
        <v>214</v>
      </c>
      <c r="D35" s="226"/>
      <c r="E35" s="226"/>
      <c r="F35" s="226"/>
      <c r="G35" s="227"/>
      <c r="H35" s="230">
        <v>125485.62</v>
      </c>
      <c r="I35" s="228"/>
      <c r="J35" s="229"/>
      <c r="K35" s="229"/>
      <c r="L35" s="199">
        <f t="shared" si="3"/>
        <v>125485.62</v>
      </c>
      <c r="M35" s="230">
        <v>88085.71</v>
      </c>
      <c r="N35" s="228"/>
      <c r="O35" s="229"/>
      <c r="P35" s="199">
        <f t="shared" si="4"/>
        <v>88085.71</v>
      </c>
      <c r="Q35" s="228">
        <v>105574.86</v>
      </c>
      <c r="R35" s="229">
        <v>39336.78</v>
      </c>
      <c r="S35" s="229">
        <v>34100.18</v>
      </c>
      <c r="T35" s="228"/>
      <c r="U35" s="199">
        <f t="shared" si="5"/>
        <v>179011.82</v>
      </c>
      <c r="V35" s="229">
        <v>36159.05</v>
      </c>
      <c r="W35" s="227"/>
      <c r="X35" s="228"/>
      <c r="Y35" s="228"/>
      <c r="Z35" s="199">
        <f t="shared" si="8"/>
        <v>36159.05</v>
      </c>
      <c r="AA35" s="227">
        <v>0</v>
      </c>
      <c r="AB35" s="227">
        <v>0</v>
      </c>
      <c r="AC35" s="199">
        <f t="shared" si="6"/>
        <v>0</v>
      </c>
      <c r="AD35" s="245"/>
      <c r="AE35" s="228"/>
      <c r="AF35" s="245">
        <v>0</v>
      </c>
      <c r="AG35" s="228">
        <v>0</v>
      </c>
      <c r="AH35" s="228"/>
      <c r="AI35" s="228"/>
      <c r="AJ35" s="228"/>
      <c r="AK35" s="199">
        <f t="shared" si="7"/>
        <v>0</v>
      </c>
      <c r="AL35" s="85">
        <f t="shared" si="9"/>
        <v>428742.2</v>
      </c>
    </row>
    <row r="36" spans="1:38" s="31" customFormat="1" ht="15">
      <c r="A36" s="57" t="s">
        <v>215</v>
      </c>
      <c r="B36" s="31">
        <v>31</v>
      </c>
      <c r="C36" s="203" t="s">
        <v>216</v>
      </c>
      <c r="D36" s="226"/>
      <c r="E36" s="226"/>
      <c r="F36" s="226"/>
      <c r="G36" s="227"/>
      <c r="H36" s="230"/>
      <c r="I36" s="228"/>
      <c r="J36" s="229"/>
      <c r="K36" s="229"/>
      <c r="L36" s="199">
        <f t="shared" si="3"/>
        <v>0</v>
      </c>
      <c r="M36" s="230"/>
      <c r="N36" s="228">
        <v>10000</v>
      </c>
      <c r="O36" s="229"/>
      <c r="P36" s="199">
        <f t="shared" si="4"/>
        <v>10000</v>
      </c>
      <c r="Q36" s="228"/>
      <c r="R36" s="229"/>
      <c r="S36" s="229">
        <v>0</v>
      </c>
      <c r="T36" s="228"/>
      <c r="U36" s="199">
        <f t="shared" si="5"/>
        <v>0</v>
      </c>
      <c r="V36" s="229">
        <v>0</v>
      </c>
      <c r="W36" s="227"/>
      <c r="X36" s="228"/>
      <c r="Y36" s="228"/>
      <c r="Z36" s="199">
        <f t="shared" si="8"/>
        <v>0</v>
      </c>
      <c r="AA36" s="227">
        <v>0</v>
      </c>
      <c r="AB36" s="227">
        <v>0</v>
      </c>
      <c r="AC36" s="199">
        <f t="shared" si="6"/>
        <v>0</v>
      </c>
      <c r="AD36" s="245"/>
      <c r="AE36" s="228"/>
      <c r="AF36" s="245">
        <v>0</v>
      </c>
      <c r="AG36" s="228">
        <v>0</v>
      </c>
      <c r="AH36" s="228"/>
      <c r="AI36" s="228"/>
      <c r="AJ36" s="228"/>
      <c r="AK36" s="199">
        <f t="shared" si="7"/>
        <v>0</v>
      </c>
      <c r="AL36" s="85">
        <f t="shared" si="9"/>
        <v>10000</v>
      </c>
    </row>
    <row r="37" spans="1:38" s="31" customFormat="1" ht="15">
      <c r="A37" s="57" t="s">
        <v>217</v>
      </c>
      <c r="B37" s="31">
        <v>32</v>
      </c>
      <c r="C37" s="203" t="s">
        <v>218</v>
      </c>
      <c r="D37" s="226"/>
      <c r="E37" s="226"/>
      <c r="F37" s="226"/>
      <c r="G37" s="227"/>
      <c r="H37" s="230"/>
      <c r="I37" s="228"/>
      <c r="J37" s="229"/>
      <c r="K37" s="229"/>
      <c r="L37" s="199">
        <f t="shared" si="3"/>
        <v>0</v>
      </c>
      <c r="M37" s="230"/>
      <c r="N37" s="228"/>
      <c r="O37" s="229"/>
      <c r="P37" s="199">
        <f t="shared" si="4"/>
        <v>0</v>
      </c>
      <c r="Q37" s="228"/>
      <c r="R37" s="229"/>
      <c r="S37" s="229">
        <v>0</v>
      </c>
      <c r="T37" s="228"/>
      <c r="U37" s="199">
        <f t="shared" si="5"/>
        <v>0</v>
      </c>
      <c r="V37" s="229">
        <v>0</v>
      </c>
      <c r="W37" s="227"/>
      <c r="X37" s="228"/>
      <c r="Y37" s="228"/>
      <c r="Z37" s="199">
        <f t="shared" si="8"/>
        <v>0</v>
      </c>
      <c r="AA37" s="227">
        <v>0</v>
      </c>
      <c r="AB37" s="227">
        <v>0</v>
      </c>
      <c r="AC37" s="199">
        <f t="shared" si="6"/>
        <v>0</v>
      </c>
      <c r="AD37" s="245"/>
      <c r="AE37" s="228"/>
      <c r="AF37" s="245">
        <v>0</v>
      </c>
      <c r="AG37" s="228">
        <v>0</v>
      </c>
      <c r="AH37" s="228"/>
      <c r="AI37" s="228"/>
      <c r="AJ37" s="228"/>
      <c r="AK37" s="199">
        <f t="shared" si="7"/>
        <v>0</v>
      </c>
      <c r="AL37" s="85">
        <f t="shared" si="9"/>
        <v>0</v>
      </c>
    </row>
    <row r="38" spans="1:38" s="31" customFormat="1" ht="15">
      <c r="A38" s="57" t="s">
        <v>219</v>
      </c>
      <c r="B38" s="31">
        <v>33</v>
      </c>
      <c r="C38" s="203" t="s">
        <v>220</v>
      </c>
      <c r="D38" s="226"/>
      <c r="E38" s="226"/>
      <c r="F38" s="226"/>
      <c r="G38" s="227"/>
      <c r="H38" s="230"/>
      <c r="I38" s="228"/>
      <c r="J38" s="229"/>
      <c r="K38" s="229"/>
      <c r="L38" s="199">
        <f t="shared" si="3"/>
        <v>0</v>
      </c>
      <c r="M38" s="230">
        <v>372022.18</v>
      </c>
      <c r="N38" s="228"/>
      <c r="O38" s="229"/>
      <c r="P38" s="199">
        <f t="shared" si="4"/>
        <v>372022.18</v>
      </c>
      <c r="Q38" s="228">
        <v>909828.5</v>
      </c>
      <c r="R38" s="229">
        <v>338998.53</v>
      </c>
      <c r="S38" s="229">
        <v>196502.14</v>
      </c>
      <c r="T38" s="228">
        <v>66591.3</v>
      </c>
      <c r="U38" s="199">
        <f t="shared" si="5"/>
        <v>1511920.47</v>
      </c>
      <c r="V38" s="229">
        <v>208366.42</v>
      </c>
      <c r="W38" s="227">
        <v>169614.58</v>
      </c>
      <c r="X38" s="228">
        <v>169620.62</v>
      </c>
      <c r="Y38" s="228"/>
      <c r="Z38" s="199">
        <f t="shared" si="8"/>
        <v>547601.62</v>
      </c>
      <c r="AA38" s="227">
        <v>396823.51</v>
      </c>
      <c r="AB38" s="227">
        <v>396823.51</v>
      </c>
      <c r="AC38" s="199">
        <f t="shared" si="6"/>
        <v>793647.02</v>
      </c>
      <c r="AD38" s="245">
        <v>664210.35</v>
      </c>
      <c r="AE38" s="228"/>
      <c r="AF38" s="245">
        <v>954758.62</v>
      </c>
      <c r="AG38" s="228">
        <v>0</v>
      </c>
      <c r="AH38" s="228"/>
      <c r="AI38" s="228"/>
      <c r="AJ38" s="228"/>
      <c r="AK38" s="199">
        <f t="shared" si="7"/>
        <v>954758.62</v>
      </c>
      <c r="AL38" s="85">
        <f t="shared" si="9"/>
        <v>4844160.26</v>
      </c>
    </row>
    <row r="39" spans="1:38" s="31" customFormat="1" ht="15">
      <c r="A39" s="57" t="s">
        <v>221</v>
      </c>
      <c r="B39" s="31">
        <v>34</v>
      </c>
      <c r="C39" s="203" t="s">
        <v>222</v>
      </c>
      <c r="D39" s="226"/>
      <c r="E39" s="226"/>
      <c r="F39" s="226"/>
      <c r="G39" s="227"/>
      <c r="H39" s="230"/>
      <c r="I39" s="228">
        <v>269545.06</v>
      </c>
      <c r="J39" s="229"/>
      <c r="K39" s="229"/>
      <c r="L39" s="199">
        <f t="shared" si="3"/>
        <v>269545.06</v>
      </c>
      <c r="M39" s="230"/>
      <c r="N39" s="228"/>
      <c r="O39" s="229">
        <v>68575.31</v>
      </c>
      <c r="P39" s="199">
        <f t="shared" si="4"/>
        <v>68575.31</v>
      </c>
      <c r="Q39" s="228">
        <v>39020.88</v>
      </c>
      <c r="R39" s="229"/>
      <c r="S39" s="229">
        <v>34246.98</v>
      </c>
      <c r="T39" s="228"/>
      <c r="U39" s="199">
        <f t="shared" si="5"/>
        <v>73267.86</v>
      </c>
      <c r="V39" s="229">
        <v>36314.72</v>
      </c>
      <c r="W39" s="227"/>
      <c r="X39" s="228"/>
      <c r="Y39" s="228"/>
      <c r="Z39" s="199">
        <f t="shared" si="8"/>
        <v>36314.72</v>
      </c>
      <c r="AA39" s="227">
        <v>0</v>
      </c>
      <c r="AB39" s="227">
        <v>0</v>
      </c>
      <c r="AC39" s="199">
        <f t="shared" si="6"/>
        <v>0</v>
      </c>
      <c r="AD39" s="245">
        <v>55014.86</v>
      </c>
      <c r="AE39" s="228"/>
      <c r="AF39" s="245">
        <v>0</v>
      </c>
      <c r="AG39" s="228">
        <v>0</v>
      </c>
      <c r="AH39" s="228"/>
      <c r="AI39" s="228"/>
      <c r="AJ39" s="228"/>
      <c r="AK39" s="199">
        <f t="shared" si="7"/>
        <v>0</v>
      </c>
      <c r="AL39" s="85">
        <f t="shared" si="9"/>
        <v>502717.81</v>
      </c>
    </row>
    <row r="40" spans="1:38" s="31" customFormat="1" ht="15">
      <c r="A40" s="57" t="s">
        <v>223</v>
      </c>
      <c r="B40" s="31">
        <v>35</v>
      </c>
      <c r="C40" s="203" t="s">
        <v>224</v>
      </c>
      <c r="D40" s="226"/>
      <c r="E40" s="226"/>
      <c r="F40" s="226"/>
      <c r="G40" s="227"/>
      <c r="H40" s="230"/>
      <c r="I40" s="228"/>
      <c r="J40" s="229"/>
      <c r="K40" s="229"/>
      <c r="L40" s="199">
        <f t="shared" si="3"/>
        <v>0</v>
      </c>
      <c r="M40" s="230"/>
      <c r="N40" s="228"/>
      <c r="O40" s="229"/>
      <c r="P40" s="199">
        <f t="shared" si="4"/>
        <v>0</v>
      </c>
      <c r="Q40" s="228"/>
      <c r="R40" s="229"/>
      <c r="S40" s="229">
        <v>0</v>
      </c>
      <c r="T40" s="228"/>
      <c r="U40" s="199">
        <f t="shared" si="5"/>
        <v>0</v>
      </c>
      <c r="V40" s="229">
        <v>0</v>
      </c>
      <c r="W40" s="227"/>
      <c r="X40" s="228"/>
      <c r="Y40" s="228"/>
      <c r="Z40" s="199">
        <f t="shared" si="8"/>
        <v>0</v>
      </c>
      <c r="AA40" s="227">
        <v>0</v>
      </c>
      <c r="AB40" s="227">
        <v>0</v>
      </c>
      <c r="AC40" s="199">
        <f t="shared" si="6"/>
        <v>0</v>
      </c>
      <c r="AD40" s="245">
        <v>310653.17</v>
      </c>
      <c r="AE40" s="228"/>
      <c r="AF40" s="245">
        <v>0</v>
      </c>
      <c r="AG40" s="228">
        <v>0</v>
      </c>
      <c r="AH40" s="228"/>
      <c r="AI40" s="228"/>
      <c r="AJ40" s="228"/>
      <c r="AK40" s="199">
        <f t="shared" si="7"/>
        <v>0</v>
      </c>
      <c r="AL40" s="85">
        <f t="shared" si="9"/>
        <v>310653.17</v>
      </c>
    </row>
    <row r="41" spans="1:38" s="31" customFormat="1" ht="15">
      <c r="A41" s="57" t="s">
        <v>225</v>
      </c>
      <c r="B41" s="31">
        <v>36</v>
      </c>
      <c r="C41" s="203" t="s">
        <v>226</v>
      </c>
      <c r="D41" s="226"/>
      <c r="E41" s="226"/>
      <c r="F41" s="226">
        <v>27212.59</v>
      </c>
      <c r="G41" s="227"/>
      <c r="H41" s="230"/>
      <c r="I41" s="228"/>
      <c r="J41" s="229"/>
      <c r="K41" s="229"/>
      <c r="L41" s="199">
        <f t="shared" si="3"/>
        <v>27212.59</v>
      </c>
      <c r="M41" s="230">
        <v>68574.3</v>
      </c>
      <c r="N41" s="228"/>
      <c r="O41" s="229">
        <f>81564.97+389000</f>
        <v>470564.97</v>
      </c>
      <c r="P41" s="199">
        <f t="shared" si="4"/>
        <v>539139.27</v>
      </c>
      <c r="Q41" s="228">
        <v>46412.28</v>
      </c>
      <c r="R41" s="229"/>
      <c r="S41" s="229">
        <v>243513.88</v>
      </c>
      <c r="T41" s="228">
        <v>82522.8</v>
      </c>
      <c r="U41" s="199">
        <f t="shared" si="5"/>
        <v>372448.96</v>
      </c>
      <c r="V41" s="229">
        <v>258216.61</v>
      </c>
      <c r="W41" s="227">
        <v>210193.67</v>
      </c>
      <c r="X41" s="228">
        <v>210201.15</v>
      </c>
      <c r="Y41" s="228"/>
      <c r="Z41" s="199">
        <f t="shared" si="8"/>
        <v>678611.43</v>
      </c>
      <c r="AA41" s="227">
        <v>491760.72</v>
      </c>
      <c r="AB41" s="227">
        <v>491760.72</v>
      </c>
      <c r="AC41" s="199">
        <f t="shared" si="6"/>
        <v>983521.44</v>
      </c>
      <c r="AD41" s="245">
        <v>703489.98</v>
      </c>
      <c r="AE41" s="228"/>
      <c r="AF41" s="245">
        <v>1126201.05</v>
      </c>
      <c r="AG41" s="228">
        <v>0</v>
      </c>
      <c r="AH41" s="228"/>
      <c r="AI41" s="228"/>
      <c r="AJ41" s="228"/>
      <c r="AK41" s="199">
        <f t="shared" si="7"/>
        <v>1126201.05</v>
      </c>
      <c r="AL41" s="85">
        <f t="shared" si="9"/>
        <v>4430624.72</v>
      </c>
    </row>
    <row r="42" spans="1:38" s="31" customFormat="1" ht="15">
      <c r="A42" s="57" t="s">
        <v>227</v>
      </c>
      <c r="B42" s="31">
        <v>37</v>
      </c>
      <c r="C42" s="203" t="s">
        <v>228</v>
      </c>
      <c r="D42" s="226"/>
      <c r="E42" s="226"/>
      <c r="F42" s="226"/>
      <c r="G42" s="227"/>
      <c r="H42" s="230">
        <v>194485.57</v>
      </c>
      <c r="I42" s="228"/>
      <c r="J42" s="229"/>
      <c r="K42" s="229"/>
      <c r="L42" s="199">
        <f t="shared" si="3"/>
        <v>194485.57</v>
      </c>
      <c r="M42" s="230"/>
      <c r="N42" s="228"/>
      <c r="O42" s="229"/>
      <c r="P42" s="199">
        <f t="shared" si="4"/>
        <v>0</v>
      </c>
      <c r="Q42" s="228">
        <v>137132.66</v>
      </c>
      <c r="R42" s="229">
        <v>33667.02</v>
      </c>
      <c r="S42" s="229">
        <v>60160.3</v>
      </c>
      <c r="T42" s="228"/>
      <c r="U42" s="199">
        <f t="shared" si="5"/>
        <v>230959.97999999998</v>
      </c>
      <c r="V42" s="229">
        <v>63792.61</v>
      </c>
      <c r="W42" s="227"/>
      <c r="X42" s="228"/>
      <c r="Y42" s="228"/>
      <c r="Z42" s="199">
        <f t="shared" si="8"/>
        <v>63792.61</v>
      </c>
      <c r="AA42" s="227">
        <v>0</v>
      </c>
      <c r="AB42" s="227">
        <v>0</v>
      </c>
      <c r="AC42" s="199">
        <f t="shared" si="6"/>
        <v>0</v>
      </c>
      <c r="AD42" s="245"/>
      <c r="AE42" s="228"/>
      <c r="AF42" s="245">
        <v>0</v>
      </c>
      <c r="AG42" s="228">
        <v>0</v>
      </c>
      <c r="AH42" s="228"/>
      <c r="AI42" s="228"/>
      <c r="AJ42" s="228"/>
      <c r="AK42" s="199">
        <f t="shared" si="7"/>
        <v>0</v>
      </c>
      <c r="AL42" s="85">
        <f t="shared" si="9"/>
        <v>489238.16</v>
      </c>
    </row>
    <row r="43" spans="1:38" s="31" customFormat="1" ht="15">
      <c r="A43" s="57" t="s">
        <v>229</v>
      </c>
      <c r="B43" s="31">
        <v>38</v>
      </c>
      <c r="C43" s="203" t="s">
        <v>230</v>
      </c>
      <c r="D43" s="226"/>
      <c r="E43" s="226"/>
      <c r="F43" s="226"/>
      <c r="G43" s="227"/>
      <c r="H43" s="230"/>
      <c r="I43" s="228"/>
      <c r="J43" s="229"/>
      <c r="K43" s="229"/>
      <c r="L43" s="199">
        <f t="shared" si="3"/>
        <v>0</v>
      </c>
      <c r="M43" s="230">
        <v>138512.44</v>
      </c>
      <c r="N43" s="228"/>
      <c r="O43" s="229">
        <v>24650.270000000004</v>
      </c>
      <c r="P43" s="199">
        <f t="shared" si="4"/>
        <v>163162.71000000002</v>
      </c>
      <c r="Q43" s="228">
        <v>14026.53</v>
      </c>
      <c r="R43" s="229"/>
      <c r="S43" s="229">
        <v>0</v>
      </c>
      <c r="T43" s="228"/>
      <c r="U43" s="199">
        <f t="shared" si="5"/>
        <v>14026.53</v>
      </c>
      <c r="V43" s="229">
        <v>0</v>
      </c>
      <c r="W43" s="227"/>
      <c r="X43" s="228"/>
      <c r="Y43" s="228"/>
      <c r="Z43" s="199">
        <f t="shared" si="8"/>
        <v>0</v>
      </c>
      <c r="AA43" s="227">
        <v>0</v>
      </c>
      <c r="AB43" s="227">
        <v>0</v>
      </c>
      <c r="AC43" s="199">
        <f t="shared" si="6"/>
        <v>0</v>
      </c>
      <c r="AD43" s="245">
        <v>102065.71</v>
      </c>
      <c r="AE43" s="228"/>
      <c r="AF43" s="245">
        <v>176430.7</v>
      </c>
      <c r="AG43" s="228">
        <v>0</v>
      </c>
      <c r="AH43" s="228"/>
      <c r="AI43" s="228"/>
      <c r="AJ43" s="228"/>
      <c r="AK43" s="199">
        <f t="shared" si="7"/>
        <v>176430.7</v>
      </c>
      <c r="AL43" s="85">
        <f t="shared" si="9"/>
        <v>455685.6500000001</v>
      </c>
    </row>
    <row r="44" spans="1:38" s="31" customFormat="1" ht="15">
      <c r="A44" s="57" t="s">
        <v>231</v>
      </c>
      <c r="B44" s="31">
        <v>39</v>
      </c>
      <c r="C44" s="203" t="s">
        <v>232</v>
      </c>
      <c r="D44" s="226"/>
      <c r="E44" s="226"/>
      <c r="F44" s="226"/>
      <c r="G44" s="227"/>
      <c r="H44" s="230"/>
      <c r="I44" s="228"/>
      <c r="J44" s="229"/>
      <c r="K44" s="229"/>
      <c r="L44" s="199">
        <f t="shared" si="3"/>
        <v>0</v>
      </c>
      <c r="M44" s="230"/>
      <c r="N44" s="228"/>
      <c r="O44" s="229"/>
      <c r="P44" s="199">
        <f t="shared" si="4"/>
        <v>0</v>
      </c>
      <c r="Q44" s="228"/>
      <c r="R44" s="229"/>
      <c r="S44" s="229">
        <v>0</v>
      </c>
      <c r="T44" s="228"/>
      <c r="U44" s="199">
        <f t="shared" si="5"/>
        <v>0</v>
      </c>
      <c r="V44" s="229">
        <v>0</v>
      </c>
      <c r="W44" s="227"/>
      <c r="X44" s="228"/>
      <c r="Y44" s="228"/>
      <c r="Z44" s="199">
        <f t="shared" si="8"/>
        <v>0</v>
      </c>
      <c r="AA44" s="227">
        <v>0</v>
      </c>
      <c r="AB44" s="227">
        <v>0</v>
      </c>
      <c r="AC44" s="199">
        <f t="shared" si="6"/>
        <v>0</v>
      </c>
      <c r="AD44" s="245"/>
      <c r="AE44" s="228"/>
      <c r="AF44" s="245">
        <v>0</v>
      </c>
      <c r="AG44" s="228">
        <v>0</v>
      </c>
      <c r="AH44" s="228"/>
      <c r="AI44" s="228"/>
      <c r="AJ44" s="228"/>
      <c r="AK44" s="199">
        <f t="shared" si="7"/>
        <v>0</v>
      </c>
      <c r="AL44" s="85">
        <f t="shared" si="9"/>
        <v>0</v>
      </c>
    </row>
    <row r="45" spans="1:38" s="31" customFormat="1" ht="15">
      <c r="A45" s="57" t="s">
        <v>233</v>
      </c>
      <c r="B45" s="31">
        <v>40</v>
      </c>
      <c r="C45" s="201" t="s">
        <v>234</v>
      </c>
      <c r="D45" s="231">
        <v>238631</v>
      </c>
      <c r="E45" s="231">
        <v>150000</v>
      </c>
      <c r="F45" s="231">
        <v>138471.76</v>
      </c>
      <c r="G45" s="232"/>
      <c r="H45" s="233"/>
      <c r="I45" s="228"/>
      <c r="J45" s="229"/>
      <c r="K45" s="229"/>
      <c r="L45" s="238">
        <f t="shared" si="3"/>
        <v>527102.76</v>
      </c>
      <c r="M45" s="233"/>
      <c r="N45" s="228"/>
      <c r="O45" s="229">
        <v>70093.48000000001</v>
      </c>
      <c r="P45" s="199">
        <f t="shared" si="4"/>
        <v>70093.48000000001</v>
      </c>
      <c r="Q45" s="228">
        <v>43441.18</v>
      </c>
      <c r="R45" s="229"/>
      <c r="S45" s="229">
        <v>683990.93</v>
      </c>
      <c r="T45" s="228">
        <v>341040.45</v>
      </c>
      <c r="U45" s="199">
        <f t="shared" si="5"/>
        <v>1068472.56</v>
      </c>
      <c r="V45" s="229">
        <v>0</v>
      </c>
      <c r="W45" s="227"/>
      <c r="X45" s="228"/>
      <c r="Y45" s="228"/>
      <c r="Z45" s="199">
        <f t="shared" si="8"/>
        <v>0</v>
      </c>
      <c r="AA45" s="227">
        <v>0</v>
      </c>
      <c r="AB45" s="227">
        <v>0</v>
      </c>
      <c r="AC45" s="199">
        <f t="shared" si="6"/>
        <v>0</v>
      </c>
      <c r="AD45" s="245">
        <v>336819.33</v>
      </c>
      <c r="AE45" s="228"/>
      <c r="AF45" s="245">
        <v>430010.58</v>
      </c>
      <c r="AG45" s="228">
        <v>0</v>
      </c>
      <c r="AH45" s="228"/>
      <c r="AI45" s="228"/>
      <c r="AJ45" s="228"/>
      <c r="AK45" s="199">
        <f t="shared" si="7"/>
        <v>430010.58</v>
      </c>
      <c r="AL45" s="85">
        <f t="shared" si="9"/>
        <v>2432498.71</v>
      </c>
    </row>
    <row r="46" spans="1:38" s="31" customFormat="1" ht="15">
      <c r="A46" s="57" t="s">
        <v>235</v>
      </c>
      <c r="B46" s="31">
        <v>41</v>
      </c>
      <c r="C46" s="203" t="s">
        <v>236</v>
      </c>
      <c r="D46" s="226"/>
      <c r="E46" s="226"/>
      <c r="F46" s="226"/>
      <c r="G46" s="227"/>
      <c r="H46" s="230">
        <v>31992.89</v>
      </c>
      <c r="I46" s="228"/>
      <c r="J46" s="229"/>
      <c r="K46" s="229"/>
      <c r="L46" s="199">
        <f t="shared" si="3"/>
        <v>31992.89</v>
      </c>
      <c r="M46" s="230"/>
      <c r="N46" s="228"/>
      <c r="O46" s="229"/>
      <c r="P46" s="199">
        <f t="shared" si="4"/>
        <v>0</v>
      </c>
      <c r="Q46" s="228"/>
      <c r="R46" s="229"/>
      <c r="S46" s="229">
        <v>0</v>
      </c>
      <c r="T46" s="228"/>
      <c r="U46" s="199">
        <f t="shared" si="5"/>
        <v>0</v>
      </c>
      <c r="V46" s="229">
        <v>0</v>
      </c>
      <c r="W46" s="227"/>
      <c r="X46" s="228"/>
      <c r="Y46" s="228"/>
      <c r="Z46" s="199">
        <f t="shared" si="8"/>
        <v>0</v>
      </c>
      <c r="AA46" s="227">
        <v>0</v>
      </c>
      <c r="AB46" s="227">
        <v>0</v>
      </c>
      <c r="AC46" s="199">
        <f t="shared" si="6"/>
        <v>0</v>
      </c>
      <c r="AD46" s="245"/>
      <c r="AE46" s="228"/>
      <c r="AF46" s="245">
        <v>0</v>
      </c>
      <c r="AG46" s="228">
        <v>0</v>
      </c>
      <c r="AH46" s="228"/>
      <c r="AI46" s="228"/>
      <c r="AJ46" s="228"/>
      <c r="AK46" s="199">
        <f t="shared" si="7"/>
        <v>0</v>
      </c>
      <c r="AL46" s="85">
        <f t="shared" si="9"/>
        <v>31992.89</v>
      </c>
    </row>
    <row r="47" spans="1:38" s="31" customFormat="1" ht="15">
      <c r="A47" s="57" t="s">
        <v>237</v>
      </c>
      <c r="B47" s="31">
        <v>42</v>
      </c>
      <c r="C47" s="203" t="s">
        <v>238</v>
      </c>
      <c r="D47" s="226">
        <v>150000</v>
      </c>
      <c r="E47" s="226"/>
      <c r="F47" s="226">
        <v>143532.07</v>
      </c>
      <c r="G47" s="227"/>
      <c r="H47" s="230"/>
      <c r="I47" s="228"/>
      <c r="J47" s="229"/>
      <c r="K47" s="229"/>
      <c r="L47" s="199">
        <f t="shared" si="3"/>
        <v>293532.07</v>
      </c>
      <c r="M47" s="230"/>
      <c r="N47" s="228"/>
      <c r="O47" s="229"/>
      <c r="P47" s="199">
        <f t="shared" si="4"/>
        <v>0</v>
      </c>
      <c r="Q47" s="228">
        <v>418624.58</v>
      </c>
      <c r="R47" s="229">
        <v>155977.88</v>
      </c>
      <c r="S47" s="229">
        <v>67594.39</v>
      </c>
      <c r="T47" s="228">
        <v>50986.07</v>
      </c>
      <c r="U47" s="199">
        <f t="shared" si="5"/>
        <v>693182.9199999999</v>
      </c>
      <c r="V47" s="229">
        <v>71675.55</v>
      </c>
      <c r="W47" s="227">
        <v>129866.53</v>
      </c>
      <c r="X47" s="228">
        <v>129871.15</v>
      </c>
      <c r="Y47" s="228"/>
      <c r="Z47" s="199">
        <f t="shared" si="8"/>
        <v>331413.23</v>
      </c>
      <c r="AA47" s="227">
        <v>303830.56</v>
      </c>
      <c r="AB47" s="227">
        <v>303830.56</v>
      </c>
      <c r="AC47" s="199">
        <f t="shared" si="6"/>
        <v>607661.12</v>
      </c>
      <c r="AD47" s="245">
        <v>1140066.96</v>
      </c>
      <c r="AE47" s="228"/>
      <c r="AF47" s="245">
        <v>2067032.29</v>
      </c>
      <c r="AG47" s="228">
        <v>0</v>
      </c>
      <c r="AH47" s="228"/>
      <c r="AI47" s="228"/>
      <c r="AJ47" s="228"/>
      <c r="AK47" s="199">
        <f t="shared" si="7"/>
        <v>2067032.29</v>
      </c>
      <c r="AL47" s="85">
        <f t="shared" si="9"/>
        <v>5132888.59</v>
      </c>
    </row>
    <row r="48" spans="1:38" s="31" customFormat="1" ht="15">
      <c r="A48" s="57" t="s">
        <v>239</v>
      </c>
      <c r="B48" s="31">
        <v>43</v>
      </c>
      <c r="C48" s="203" t="s">
        <v>240</v>
      </c>
      <c r="D48" s="226"/>
      <c r="E48" s="226"/>
      <c r="F48" s="226"/>
      <c r="G48" s="227"/>
      <c r="H48" s="230"/>
      <c r="I48" s="228"/>
      <c r="J48" s="229"/>
      <c r="K48" s="229"/>
      <c r="L48" s="199">
        <f t="shared" si="3"/>
        <v>0</v>
      </c>
      <c r="M48" s="230"/>
      <c r="N48" s="228"/>
      <c r="O48" s="229"/>
      <c r="P48" s="199">
        <f t="shared" si="4"/>
        <v>0</v>
      </c>
      <c r="Q48" s="228">
        <v>268076.38</v>
      </c>
      <c r="R48" s="229">
        <v>99884.21</v>
      </c>
      <c r="S48" s="229">
        <v>10935.62</v>
      </c>
      <c r="T48" s="228">
        <v>8248.68</v>
      </c>
      <c r="U48" s="199">
        <f t="shared" si="5"/>
        <v>387144.89</v>
      </c>
      <c r="V48" s="229">
        <v>11595.88</v>
      </c>
      <c r="W48" s="227">
        <v>21010.19</v>
      </c>
      <c r="X48" s="228">
        <v>21010.94</v>
      </c>
      <c r="Y48" s="228"/>
      <c r="Z48" s="199">
        <f t="shared" si="8"/>
        <v>53617.009999999995</v>
      </c>
      <c r="AA48" s="227">
        <v>49154.6</v>
      </c>
      <c r="AB48" s="227">
        <v>49154.6</v>
      </c>
      <c r="AC48" s="199">
        <f t="shared" si="6"/>
        <v>98309.2</v>
      </c>
      <c r="AD48" s="245">
        <v>60036.84</v>
      </c>
      <c r="AE48" s="228"/>
      <c r="AF48" s="245">
        <v>113295.82</v>
      </c>
      <c r="AG48" s="228">
        <v>0</v>
      </c>
      <c r="AH48" s="228"/>
      <c r="AI48" s="228"/>
      <c r="AJ48" s="228"/>
      <c r="AK48" s="199">
        <f t="shared" si="7"/>
        <v>113295.82</v>
      </c>
      <c r="AL48" s="85">
        <f t="shared" si="9"/>
        <v>712403.76</v>
      </c>
    </row>
    <row r="49" spans="1:38" s="31" customFormat="1" ht="15">
      <c r="A49" s="57" t="s">
        <v>241</v>
      </c>
      <c r="B49" s="31">
        <v>44</v>
      </c>
      <c r="C49" s="203" t="s">
        <v>242</v>
      </c>
      <c r="D49" s="226">
        <v>150000</v>
      </c>
      <c r="E49" s="226"/>
      <c r="F49" s="226"/>
      <c r="G49" s="227"/>
      <c r="H49" s="230"/>
      <c r="I49" s="228"/>
      <c r="J49" s="229"/>
      <c r="K49" s="229"/>
      <c r="L49" s="199">
        <f t="shared" si="3"/>
        <v>150000</v>
      </c>
      <c r="M49" s="230">
        <v>98680.57</v>
      </c>
      <c r="N49" s="228"/>
      <c r="O49" s="229"/>
      <c r="P49" s="199">
        <f t="shared" si="4"/>
        <v>98680.57</v>
      </c>
      <c r="Q49" s="228"/>
      <c r="R49" s="229"/>
      <c r="S49" s="229">
        <v>55158.69</v>
      </c>
      <c r="T49" s="228"/>
      <c r="U49" s="199">
        <f t="shared" si="5"/>
        <v>55158.69</v>
      </c>
      <c r="V49" s="229">
        <v>58489.02</v>
      </c>
      <c r="W49" s="227"/>
      <c r="X49" s="228"/>
      <c r="Y49" s="228"/>
      <c r="Z49" s="199">
        <f t="shared" si="8"/>
        <v>58489.02</v>
      </c>
      <c r="AA49" s="227">
        <v>0</v>
      </c>
      <c r="AB49" s="227">
        <v>0</v>
      </c>
      <c r="AC49" s="199">
        <f t="shared" si="6"/>
        <v>0</v>
      </c>
      <c r="AD49" s="245">
        <v>887121.9</v>
      </c>
      <c r="AE49" s="228"/>
      <c r="AF49" s="245">
        <v>1696720.02</v>
      </c>
      <c r="AG49" s="228">
        <v>0</v>
      </c>
      <c r="AH49" s="228"/>
      <c r="AI49" s="228"/>
      <c r="AJ49" s="228"/>
      <c r="AK49" s="199">
        <f t="shared" si="7"/>
        <v>1696720.02</v>
      </c>
      <c r="AL49" s="85">
        <f t="shared" si="9"/>
        <v>2946170.1999999997</v>
      </c>
    </row>
    <row r="50" spans="1:38" s="31" customFormat="1" ht="15">
      <c r="A50" s="57" t="s">
        <v>243</v>
      </c>
      <c r="B50" s="31">
        <v>45</v>
      </c>
      <c r="C50" s="203" t="s">
        <v>244</v>
      </c>
      <c r="D50" s="226"/>
      <c r="E50" s="226"/>
      <c r="F50" s="226"/>
      <c r="G50" s="227"/>
      <c r="H50" s="230"/>
      <c r="I50" s="228"/>
      <c r="J50" s="229"/>
      <c r="K50" s="229"/>
      <c r="L50" s="199">
        <f t="shared" si="3"/>
        <v>0</v>
      </c>
      <c r="M50" s="230">
        <v>133526.5</v>
      </c>
      <c r="N50" s="228"/>
      <c r="O50" s="229"/>
      <c r="P50" s="199">
        <f t="shared" si="4"/>
        <v>133526.5</v>
      </c>
      <c r="Q50" s="228">
        <v>92177.75</v>
      </c>
      <c r="R50" s="229">
        <v>34345.07</v>
      </c>
      <c r="S50" s="229">
        <v>28847.92</v>
      </c>
      <c r="T50" s="228">
        <v>9776.08</v>
      </c>
      <c r="U50" s="199">
        <f t="shared" si="5"/>
        <v>165146.81999999998</v>
      </c>
      <c r="V50" s="229">
        <v>30589.68</v>
      </c>
      <c r="W50" s="227">
        <v>24900.63</v>
      </c>
      <c r="X50" s="228">
        <v>24901.52</v>
      </c>
      <c r="Y50" s="228"/>
      <c r="Z50" s="199">
        <f t="shared" si="8"/>
        <v>80391.83</v>
      </c>
      <c r="AA50" s="227">
        <v>58256.53</v>
      </c>
      <c r="AB50" s="227">
        <v>58256.53</v>
      </c>
      <c r="AC50" s="199">
        <f t="shared" si="6"/>
        <v>116513.06</v>
      </c>
      <c r="AD50" s="245">
        <v>41978.61</v>
      </c>
      <c r="AE50" s="228"/>
      <c r="AF50" s="245">
        <v>0</v>
      </c>
      <c r="AG50" s="228">
        <v>0</v>
      </c>
      <c r="AH50" s="228"/>
      <c r="AI50" s="228"/>
      <c r="AJ50" s="228"/>
      <c r="AK50" s="199">
        <f t="shared" si="7"/>
        <v>0</v>
      </c>
      <c r="AL50" s="85">
        <f t="shared" si="9"/>
        <v>537556.82</v>
      </c>
    </row>
    <row r="51" spans="1:38" s="31" customFormat="1" ht="15">
      <c r="A51" s="57" t="s">
        <v>245</v>
      </c>
      <c r="B51" s="31">
        <v>46</v>
      </c>
      <c r="C51" s="203" t="s">
        <v>246</v>
      </c>
      <c r="D51" s="226">
        <v>150000</v>
      </c>
      <c r="E51" s="226">
        <v>439073.99</v>
      </c>
      <c r="F51" s="226">
        <v>394553.01</v>
      </c>
      <c r="G51" s="227">
        <v>441945.06</v>
      </c>
      <c r="H51" s="230"/>
      <c r="I51" s="228"/>
      <c r="J51" s="229"/>
      <c r="K51" s="229"/>
      <c r="L51" s="199">
        <f t="shared" si="3"/>
        <v>1425572.06</v>
      </c>
      <c r="M51" s="230">
        <v>927697.3</v>
      </c>
      <c r="N51" s="228"/>
      <c r="O51" s="229"/>
      <c r="P51" s="199">
        <f t="shared" si="4"/>
        <v>927697.3</v>
      </c>
      <c r="Q51" s="228">
        <v>810547.73</v>
      </c>
      <c r="R51" s="229">
        <v>302006.9</v>
      </c>
      <c r="S51" s="229">
        <v>184750.72</v>
      </c>
      <c r="T51" s="228"/>
      <c r="U51" s="199">
        <f t="shared" si="5"/>
        <v>1297305.3499999999</v>
      </c>
      <c r="V51" s="229">
        <v>195905.48</v>
      </c>
      <c r="W51" s="227">
        <v>159471.12</v>
      </c>
      <c r="X51" s="228"/>
      <c r="Y51" s="228"/>
      <c r="Z51" s="199">
        <f t="shared" si="8"/>
        <v>355376.6</v>
      </c>
      <c r="AA51" s="227">
        <v>373092.27</v>
      </c>
      <c r="AB51" s="227">
        <v>373092.27</v>
      </c>
      <c r="AC51" s="199">
        <f t="shared" si="6"/>
        <v>746184.54</v>
      </c>
      <c r="AD51" s="245"/>
      <c r="AE51" s="228"/>
      <c r="AF51" s="245">
        <v>0</v>
      </c>
      <c r="AG51" s="228">
        <v>0</v>
      </c>
      <c r="AH51" s="228"/>
      <c r="AI51" s="228"/>
      <c r="AJ51" s="228"/>
      <c r="AK51" s="199">
        <f t="shared" si="7"/>
        <v>0</v>
      </c>
      <c r="AL51" s="85">
        <f t="shared" si="9"/>
        <v>4752135.85</v>
      </c>
    </row>
    <row r="52" spans="1:38" s="31" customFormat="1" ht="15">
      <c r="A52" s="57" t="s">
        <v>247</v>
      </c>
      <c r="B52" s="31">
        <v>47</v>
      </c>
      <c r="C52" s="203" t="s">
        <v>248</v>
      </c>
      <c r="D52" s="226"/>
      <c r="E52" s="226"/>
      <c r="F52" s="226"/>
      <c r="G52" s="227"/>
      <c r="H52" s="230"/>
      <c r="I52" s="228"/>
      <c r="J52" s="229"/>
      <c r="K52" s="229"/>
      <c r="L52" s="199">
        <f t="shared" si="3"/>
        <v>0</v>
      </c>
      <c r="M52" s="230">
        <v>93414.11</v>
      </c>
      <c r="N52" s="228"/>
      <c r="O52" s="229"/>
      <c r="P52" s="199">
        <f t="shared" si="4"/>
        <v>93414.11</v>
      </c>
      <c r="Q52" s="228">
        <v>190950.05</v>
      </c>
      <c r="R52" s="229">
        <v>71147.24</v>
      </c>
      <c r="S52" s="229">
        <v>21413.08</v>
      </c>
      <c r="T52" s="228">
        <v>7256.54</v>
      </c>
      <c r="U52" s="199">
        <f t="shared" si="5"/>
        <v>290766.91</v>
      </c>
      <c r="V52" s="229">
        <v>22705.95</v>
      </c>
      <c r="W52" s="227">
        <v>18483.11</v>
      </c>
      <c r="X52" s="228">
        <v>18483.77</v>
      </c>
      <c r="Y52" s="228"/>
      <c r="Z52" s="199">
        <f t="shared" si="8"/>
        <v>59672.83</v>
      </c>
      <c r="AA52" s="227">
        <v>43242.35</v>
      </c>
      <c r="AB52" s="227">
        <v>43242.35</v>
      </c>
      <c r="AC52" s="199">
        <f t="shared" si="6"/>
        <v>86484.7</v>
      </c>
      <c r="AD52" s="245">
        <v>470212.65</v>
      </c>
      <c r="AE52" s="228"/>
      <c r="AF52" s="245">
        <v>194604.93</v>
      </c>
      <c r="AG52" s="228">
        <v>0</v>
      </c>
      <c r="AH52" s="228"/>
      <c r="AI52" s="228"/>
      <c r="AJ52" s="228"/>
      <c r="AK52" s="199">
        <f>SUM(AF52:AJ52)</f>
        <v>194604.93</v>
      </c>
      <c r="AL52" s="85">
        <f t="shared" si="9"/>
        <v>1195156.1300000001</v>
      </c>
    </row>
    <row r="53" spans="1:38" s="31" customFormat="1" ht="14.25" customHeight="1">
      <c r="A53" s="57" t="s">
        <v>249</v>
      </c>
      <c r="B53" s="31">
        <v>48</v>
      </c>
      <c r="C53" s="203" t="s">
        <v>250</v>
      </c>
      <c r="D53" s="226">
        <v>9978.49</v>
      </c>
      <c r="E53" s="226"/>
      <c r="F53" s="226">
        <v>57488.46</v>
      </c>
      <c r="G53" s="227"/>
      <c r="H53" s="230">
        <v>19541.17</v>
      </c>
      <c r="I53" s="228"/>
      <c r="J53" s="229"/>
      <c r="K53" s="229"/>
      <c r="L53" s="199">
        <f t="shared" si="3"/>
        <v>87008.12</v>
      </c>
      <c r="M53" s="230">
        <v>129013.06</v>
      </c>
      <c r="N53" s="228">
        <v>128368.32</v>
      </c>
      <c r="O53" s="229"/>
      <c r="P53" s="199">
        <f t="shared" si="4"/>
        <v>257381.38</v>
      </c>
      <c r="Q53" s="228">
        <v>12116.33</v>
      </c>
      <c r="R53" s="229">
        <v>52335.07</v>
      </c>
      <c r="S53" s="229">
        <v>37980.11</v>
      </c>
      <c r="T53" s="228">
        <v>12870.82</v>
      </c>
      <c r="U53" s="199">
        <f t="shared" si="5"/>
        <v>115302.33000000002</v>
      </c>
      <c r="V53" s="229">
        <v>40273.24</v>
      </c>
      <c r="W53" s="227">
        <v>32783.25</v>
      </c>
      <c r="X53" s="228">
        <v>32784.42</v>
      </c>
      <c r="Y53" s="228"/>
      <c r="Z53" s="199">
        <f t="shared" si="8"/>
        <v>105840.90999999999</v>
      </c>
      <c r="AA53" s="227">
        <v>76698.39</v>
      </c>
      <c r="AB53" s="227">
        <v>76698.39</v>
      </c>
      <c r="AC53" s="199">
        <f t="shared" si="6"/>
        <v>153396.78</v>
      </c>
      <c r="AD53" s="245">
        <v>86866.53</v>
      </c>
      <c r="AE53" s="228"/>
      <c r="AF53" s="245">
        <v>19016.93</v>
      </c>
      <c r="AG53" s="228">
        <v>0</v>
      </c>
      <c r="AH53" s="228"/>
      <c r="AI53" s="228"/>
      <c r="AJ53" s="228"/>
      <c r="AK53" s="199">
        <f t="shared" si="7"/>
        <v>19016.93</v>
      </c>
      <c r="AL53" s="85">
        <f t="shared" si="9"/>
        <v>824812.98</v>
      </c>
    </row>
    <row r="54" spans="1:38" s="31" customFormat="1" ht="15">
      <c r="A54" s="57" t="s">
        <v>251</v>
      </c>
      <c r="B54" s="31">
        <v>49</v>
      </c>
      <c r="C54" s="203" t="s">
        <v>252</v>
      </c>
      <c r="D54" s="226"/>
      <c r="E54" s="226"/>
      <c r="F54" s="226"/>
      <c r="G54" s="227"/>
      <c r="H54" s="230"/>
      <c r="I54" s="228"/>
      <c r="J54" s="229"/>
      <c r="K54" s="229"/>
      <c r="L54" s="199">
        <f t="shared" si="3"/>
        <v>0</v>
      </c>
      <c r="M54" s="230"/>
      <c r="N54" s="228"/>
      <c r="O54" s="229"/>
      <c r="P54" s="199">
        <f t="shared" si="4"/>
        <v>0</v>
      </c>
      <c r="Q54" s="228"/>
      <c r="R54" s="229"/>
      <c r="S54" s="229">
        <v>0</v>
      </c>
      <c r="T54" s="228"/>
      <c r="U54" s="199">
        <f t="shared" si="5"/>
        <v>0</v>
      </c>
      <c r="V54" s="229">
        <v>0</v>
      </c>
      <c r="W54" s="227"/>
      <c r="X54" s="228"/>
      <c r="Y54" s="228"/>
      <c r="Z54" s="199">
        <f t="shared" si="8"/>
        <v>0</v>
      </c>
      <c r="AA54" s="227">
        <v>0</v>
      </c>
      <c r="AB54" s="227">
        <v>0</v>
      </c>
      <c r="AC54" s="199">
        <f t="shared" si="6"/>
        <v>0</v>
      </c>
      <c r="AD54" s="245"/>
      <c r="AE54" s="228"/>
      <c r="AF54" s="245">
        <v>0</v>
      </c>
      <c r="AG54" s="228">
        <v>0</v>
      </c>
      <c r="AH54" s="228"/>
      <c r="AI54" s="228"/>
      <c r="AJ54" s="228"/>
      <c r="AK54" s="199">
        <f t="shared" si="7"/>
        <v>0</v>
      </c>
      <c r="AL54" s="85">
        <f t="shared" si="9"/>
        <v>0</v>
      </c>
    </row>
    <row r="55" spans="1:38" s="31" customFormat="1" ht="15">
      <c r="A55" s="57"/>
      <c r="B55" s="31">
        <v>50</v>
      </c>
      <c r="C55" s="203" t="s">
        <v>436</v>
      </c>
      <c r="D55" s="226"/>
      <c r="E55" s="226"/>
      <c r="F55" s="226"/>
      <c r="G55" s="227"/>
      <c r="H55" s="230"/>
      <c r="I55" s="228"/>
      <c r="J55" s="229"/>
      <c r="K55" s="229"/>
      <c r="L55" s="199"/>
      <c r="M55" s="230"/>
      <c r="N55" s="228"/>
      <c r="O55" s="229"/>
      <c r="P55" s="199"/>
      <c r="Q55" s="228"/>
      <c r="R55" s="229"/>
      <c r="S55" s="229"/>
      <c r="T55" s="228"/>
      <c r="U55" s="199"/>
      <c r="V55" s="229"/>
      <c r="W55" s="227"/>
      <c r="X55" s="228"/>
      <c r="Y55" s="228"/>
      <c r="Z55" s="199">
        <f t="shared" si="8"/>
        <v>0</v>
      </c>
      <c r="AA55" s="227"/>
      <c r="AB55" s="227"/>
      <c r="AC55" s="199"/>
      <c r="AD55" s="245"/>
      <c r="AE55" s="228"/>
      <c r="AF55" s="245">
        <v>0</v>
      </c>
      <c r="AG55" s="228">
        <v>0</v>
      </c>
      <c r="AH55" s="228"/>
      <c r="AI55" s="228"/>
      <c r="AJ55" s="228"/>
      <c r="AK55" s="199">
        <v>0</v>
      </c>
      <c r="AL55" s="85">
        <f t="shared" si="9"/>
        <v>0</v>
      </c>
    </row>
    <row r="56" spans="1:38" s="31" customFormat="1" ht="15">
      <c r="A56" s="57" t="s">
        <v>253</v>
      </c>
      <c r="B56" s="31">
        <v>51</v>
      </c>
      <c r="C56" s="203" t="s">
        <v>254</v>
      </c>
      <c r="D56" s="226"/>
      <c r="E56" s="226"/>
      <c r="F56" s="226"/>
      <c r="G56" s="227"/>
      <c r="H56" s="230"/>
      <c r="I56" s="228"/>
      <c r="J56" s="229">
        <v>19841</v>
      </c>
      <c r="K56" s="229"/>
      <c r="L56" s="199">
        <f t="shared" si="3"/>
        <v>19841</v>
      </c>
      <c r="M56" s="230"/>
      <c r="N56" s="228"/>
      <c r="O56" s="229"/>
      <c r="P56" s="199">
        <f t="shared" si="4"/>
        <v>0</v>
      </c>
      <c r="Q56" s="228"/>
      <c r="R56" s="229"/>
      <c r="S56" s="229">
        <v>0</v>
      </c>
      <c r="T56" s="228"/>
      <c r="U56" s="199">
        <f t="shared" si="5"/>
        <v>0</v>
      </c>
      <c r="V56" s="229">
        <v>0</v>
      </c>
      <c r="W56" s="227"/>
      <c r="X56" s="228"/>
      <c r="Y56" s="228"/>
      <c r="Z56" s="199">
        <f t="shared" si="8"/>
        <v>0</v>
      </c>
      <c r="AA56" s="227">
        <v>0</v>
      </c>
      <c r="AB56" s="227">
        <v>0</v>
      </c>
      <c r="AC56" s="199">
        <f t="shared" si="6"/>
        <v>0</v>
      </c>
      <c r="AD56" s="245"/>
      <c r="AE56" s="228"/>
      <c r="AF56" s="245">
        <v>0</v>
      </c>
      <c r="AG56" s="228">
        <v>0</v>
      </c>
      <c r="AH56" s="228"/>
      <c r="AI56" s="228"/>
      <c r="AJ56" s="228"/>
      <c r="AK56" s="199">
        <f aca="true" t="shared" si="10" ref="AK56:AK95">SUM(AE56:AJ56)</f>
        <v>0</v>
      </c>
      <c r="AL56" s="85">
        <f t="shared" si="9"/>
        <v>19841</v>
      </c>
    </row>
    <row r="57" spans="1:38" s="31" customFormat="1" ht="15">
      <c r="A57" s="57" t="s">
        <v>255</v>
      </c>
      <c r="B57" s="31">
        <v>52</v>
      </c>
      <c r="C57" s="203" t="s">
        <v>256</v>
      </c>
      <c r="D57" s="226">
        <v>150000</v>
      </c>
      <c r="E57" s="226"/>
      <c r="F57" s="226"/>
      <c r="G57" s="227"/>
      <c r="H57" s="230"/>
      <c r="I57" s="228"/>
      <c r="J57" s="229"/>
      <c r="K57" s="229"/>
      <c r="L57" s="199">
        <f t="shared" si="3"/>
        <v>150000</v>
      </c>
      <c r="M57" s="230"/>
      <c r="N57" s="228"/>
      <c r="O57" s="229"/>
      <c r="P57" s="199">
        <f t="shared" si="4"/>
        <v>0</v>
      </c>
      <c r="Q57" s="228">
        <v>693646.36</v>
      </c>
      <c r="R57" s="229">
        <v>258449.91</v>
      </c>
      <c r="S57" s="229">
        <v>32781.64</v>
      </c>
      <c r="T57" s="228"/>
      <c r="U57" s="199">
        <f t="shared" si="5"/>
        <v>984877.91</v>
      </c>
      <c r="V57" s="229">
        <v>34760.91</v>
      </c>
      <c r="W57" s="227">
        <v>118871.89</v>
      </c>
      <c r="X57" s="228"/>
      <c r="Y57" s="228"/>
      <c r="Z57" s="199">
        <f t="shared" si="8"/>
        <v>153632.8</v>
      </c>
      <c r="AA57" s="227">
        <v>278107.92</v>
      </c>
      <c r="AB57" s="227">
        <v>278107.92</v>
      </c>
      <c r="AC57" s="199">
        <f t="shared" si="6"/>
        <v>556215.84</v>
      </c>
      <c r="AD57" s="245"/>
      <c r="AE57" s="228"/>
      <c r="AF57" s="245">
        <v>0</v>
      </c>
      <c r="AG57" s="228">
        <v>0</v>
      </c>
      <c r="AH57" s="228"/>
      <c r="AI57" s="228"/>
      <c r="AJ57" s="228"/>
      <c r="AK57" s="199">
        <f t="shared" si="10"/>
        <v>0</v>
      </c>
      <c r="AL57" s="85">
        <f t="shared" si="9"/>
        <v>1844726.5499999998</v>
      </c>
    </row>
    <row r="58" spans="1:38" s="31" customFormat="1" ht="15">
      <c r="A58" s="57" t="s">
        <v>257</v>
      </c>
      <c r="B58" s="31">
        <v>53</v>
      </c>
      <c r="C58" s="203" t="s">
        <v>258</v>
      </c>
      <c r="D58" s="226">
        <v>150000</v>
      </c>
      <c r="E58" s="226">
        <v>516219.51</v>
      </c>
      <c r="F58" s="226"/>
      <c r="G58" s="227"/>
      <c r="H58" s="230">
        <v>978572.46</v>
      </c>
      <c r="I58" s="228"/>
      <c r="J58" s="229"/>
      <c r="K58" s="229"/>
      <c r="L58" s="199">
        <f t="shared" si="3"/>
        <v>1644791.97</v>
      </c>
      <c r="M58" s="230">
        <v>30334.9</v>
      </c>
      <c r="N58" s="228"/>
      <c r="O58" s="229"/>
      <c r="P58" s="199">
        <f t="shared" si="4"/>
        <v>30334.9</v>
      </c>
      <c r="Q58" s="228">
        <v>1406410.72</v>
      </c>
      <c r="R58" s="229">
        <v>524023.12</v>
      </c>
      <c r="S58" s="229">
        <v>326845.7</v>
      </c>
      <c r="T58" s="228">
        <v>246537.91</v>
      </c>
      <c r="U58" s="199">
        <f t="shared" si="5"/>
        <v>2503817.45</v>
      </c>
      <c r="V58" s="229">
        <v>346579.77</v>
      </c>
      <c r="W58" s="227">
        <v>627956.26</v>
      </c>
      <c r="X58" s="228">
        <v>627978.61</v>
      </c>
      <c r="Y58" s="228"/>
      <c r="Z58" s="199">
        <f t="shared" si="8"/>
        <v>1602514.6400000001</v>
      </c>
      <c r="AA58" s="227">
        <v>1469141.43</v>
      </c>
      <c r="AB58" s="227">
        <v>1469141.43</v>
      </c>
      <c r="AC58" s="199">
        <f t="shared" si="6"/>
        <v>2938282.86</v>
      </c>
      <c r="AD58" s="245">
        <v>4325613.99</v>
      </c>
      <c r="AE58" s="228"/>
      <c r="AF58" s="245">
        <v>8966817.04</v>
      </c>
      <c r="AG58" s="228">
        <v>0</v>
      </c>
      <c r="AH58" s="228"/>
      <c r="AI58" s="228"/>
      <c r="AJ58" s="228"/>
      <c r="AK58" s="199">
        <f t="shared" si="10"/>
        <v>8966817.04</v>
      </c>
      <c r="AL58" s="85">
        <f t="shared" si="9"/>
        <v>22012172.849999994</v>
      </c>
    </row>
    <row r="59" spans="1:38" s="31" customFormat="1" ht="15">
      <c r="A59" s="57" t="s">
        <v>259</v>
      </c>
      <c r="B59" s="31">
        <v>54</v>
      </c>
      <c r="C59" s="203" t="s">
        <v>260</v>
      </c>
      <c r="D59" s="226"/>
      <c r="E59" s="226"/>
      <c r="F59" s="226"/>
      <c r="G59" s="227"/>
      <c r="H59" s="230"/>
      <c r="I59" s="228"/>
      <c r="J59" s="229"/>
      <c r="K59" s="229"/>
      <c r="L59" s="199">
        <f t="shared" si="3"/>
        <v>0</v>
      </c>
      <c r="M59" s="230"/>
      <c r="N59" s="228"/>
      <c r="O59" s="229"/>
      <c r="P59" s="199">
        <f t="shared" si="4"/>
        <v>0</v>
      </c>
      <c r="Q59" s="228"/>
      <c r="R59" s="229"/>
      <c r="S59" s="229">
        <v>16016.48</v>
      </c>
      <c r="T59" s="228">
        <v>548.71</v>
      </c>
      <c r="U59" s="199">
        <f t="shared" si="5"/>
        <v>16565.19</v>
      </c>
      <c r="V59" s="229">
        <v>16983.52</v>
      </c>
      <c r="W59" s="227"/>
      <c r="X59" s="228"/>
      <c r="Y59" s="228"/>
      <c r="Z59" s="199">
        <f t="shared" si="8"/>
        <v>16983.52</v>
      </c>
      <c r="AA59" s="227">
        <v>0</v>
      </c>
      <c r="AB59" s="227">
        <v>0</v>
      </c>
      <c r="AC59" s="199">
        <f t="shared" si="6"/>
        <v>0</v>
      </c>
      <c r="AD59" s="245">
        <v>104140.32</v>
      </c>
      <c r="AE59" s="228"/>
      <c r="AF59" s="245">
        <v>0</v>
      </c>
      <c r="AG59" s="228">
        <v>0</v>
      </c>
      <c r="AH59" s="228"/>
      <c r="AI59" s="228"/>
      <c r="AJ59" s="228"/>
      <c r="AK59" s="199">
        <f t="shared" si="10"/>
        <v>0</v>
      </c>
      <c r="AL59" s="85">
        <f t="shared" si="9"/>
        <v>137689.03</v>
      </c>
    </row>
    <row r="60" spans="1:38" s="31" customFormat="1" ht="15">
      <c r="A60" s="57" t="s">
        <v>261</v>
      </c>
      <c r="B60" s="31">
        <v>55</v>
      </c>
      <c r="C60" s="203" t="s">
        <v>262</v>
      </c>
      <c r="D60" s="226"/>
      <c r="E60" s="226"/>
      <c r="F60" s="226"/>
      <c r="G60" s="227">
        <v>76935.99</v>
      </c>
      <c r="H60" s="230"/>
      <c r="I60" s="228"/>
      <c r="J60" s="229"/>
      <c r="K60" s="229"/>
      <c r="L60" s="199">
        <f t="shared" si="3"/>
        <v>76935.99</v>
      </c>
      <c r="M60" s="230"/>
      <c r="N60" s="228"/>
      <c r="O60" s="229"/>
      <c r="P60" s="199">
        <f t="shared" si="4"/>
        <v>0</v>
      </c>
      <c r="Q60" s="228"/>
      <c r="R60" s="229"/>
      <c r="S60" s="229">
        <v>0</v>
      </c>
      <c r="T60" s="228"/>
      <c r="U60" s="199">
        <f t="shared" si="5"/>
        <v>0</v>
      </c>
      <c r="V60" s="229">
        <v>0</v>
      </c>
      <c r="W60" s="227"/>
      <c r="X60" s="228"/>
      <c r="Y60" s="228"/>
      <c r="Z60" s="199">
        <f t="shared" si="8"/>
        <v>0</v>
      </c>
      <c r="AA60" s="227">
        <v>0</v>
      </c>
      <c r="AB60" s="227">
        <v>0</v>
      </c>
      <c r="AC60" s="199">
        <f t="shared" si="6"/>
        <v>0</v>
      </c>
      <c r="AD60" s="245">
        <v>8954.85</v>
      </c>
      <c r="AE60" s="228"/>
      <c r="AF60" s="245">
        <v>0</v>
      </c>
      <c r="AG60" s="228">
        <v>0</v>
      </c>
      <c r="AH60" s="228"/>
      <c r="AI60" s="228"/>
      <c r="AJ60" s="228"/>
      <c r="AK60" s="199">
        <f t="shared" si="10"/>
        <v>0</v>
      </c>
      <c r="AL60" s="85">
        <f t="shared" si="9"/>
        <v>85890.84000000001</v>
      </c>
    </row>
    <row r="61" spans="1:38" s="31" customFormat="1" ht="15">
      <c r="A61" s="57" t="s">
        <v>263</v>
      </c>
      <c r="B61" s="31">
        <v>56</v>
      </c>
      <c r="C61" s="203" t="s">
        <v>264</v>
      </c>
      <c r="D61" s="226"/>
      <c r="E61" s="226"/>
      <c r="F61" s="226"/>
      <c r="G61" s="227"/>
      <c r="H61" s="230"/>
      <c r="I61" s="228"/>
      <c r="J61" s="229"/>
      <c r="K61" s="229"/>
      <c r="L61" s="199">
        <f t="shared" si="3"/>
        <v>0</v>
      </c>
      <c r="M61" s="230">
        <v>2113.62</v>
      </c>
      <c r="N61" s="228"/>
      <c r="O61" s="229"/>
      <c r="P61" s="199">
        <f t="shared" si="4"/>
        <v>2113.62</v>
      </c>
      <c r="Q61" s="228"/>
      <c r="R61" s="229"/>
      <c r="S61" s="229">
        <v>10000</v>
      </c>
      <c r="T61" s="228"/>
      <c r="U61" s="199">
        <f t="shared" si="5"/>
        <v>10000</v>
      </c>
      <c r="V61" s="229">
        <v>0</v>
      </c>
      <c r="W61" s="227"/>
      <c r="X61" s="228"/>
      <c r="Y61" s="228"/>
      <c r="Z61" s="199">
        <f t="shared" si="8"/>
        <v>0</v>
      </c>
      <c r="AA61" s="227">
        <v>0</v>
      </c>
      <c r="AB61" s="227">
        <v>0</v>
      </c>
      <c r="AC61" s="199">
        <f t="shared" si="6"/>
        <v>0</v>
      </c>
      <c r="AD61" s="245">
        <v>237194.06</v>
      </c>
      <c r="AE61" s="228"/>
      <c r="AF61" s="245">
        <v>381193.68</v>
      </c>
      <c r="AG61" s="228">
        <v>0</v>
      </c>
      <c r="AH61" s="228"/>
      <c r="AI61" s="228"/>
      <c r="AJ61" s="228"/>
      <c r="AK61" s="199">
        <f t="shared" si="10"/>
        <v>381193.68</v>
      </c>
      <c r="AL61" s="85">
        <f t="shared" si="9"/>
        <v>630501.36</v>
      </c>
    </row>
    <row r="62" spans="1:38" s="31" customFormat="1" ht="15">
      <c r="A62" s="57" t="s">
        <v>265</v>
      </c>
      <c r="B62" s="31">
        <v>57</v>
      </c>
      <c r="C62" s="203" t="s">
        <v>266</v>
      </c>
      <c r="D62" s="226"/>
      <c r="E62" s="226"/>
      <c r="F62" s="226"/>
      <c r="G62" s="227"/>
      <c r="H62" s="230">
        <v>5197.19</v>
      </c>
      <c r="I62" s="228"/>
      <c r="J62" s="229">
        <v>89470.76</v>
      </c>
      <c r="K62" s="229"/>
      <c r="L62" s="199">
        <f t="shared" si="3"/>
        <v>94667.95</v>
      </c>
      <c r="M62" s="230"/>
      <c r="N62" s="228"/>
      <c r="O62" s="229">
        <v>68989.43</v>
      </c>
      <c r="P62" s="199">
        <f t="shared" si="4"/>
        <v>68989.43</v>
      </c>
      <c r="Q62" s="228">
        <v>39277.01</v>
      </c>
      <c r="R62" s="229"/>
      <c r="S62" s="229">
        <v>69147.43</v>
      </c>
      <c r="T62" s="228"/>
      <c r="U62" s="199">
        <f t="shared" si="5"/>
        <v>108424.44</v>
      </c>
      <c r="V62" s="229">
        <v>73322.37</v>
      </c>
      <c r="W62" s="227"/>
      <c r="X62" s="228"/>
      <c r="Y62" s="228"/>
      <c r="Z62" s="199">
        <f t="shared" si="8"/>
        <v>73322.37</v>
      </c>
      <c r="AA62" s="227">
        <v>0</v>
      </c>
      <c r="AB62" s="227">
        <v>0</v>
      </c>
      <c r="AC62" s="199">
        <f t="shared" si="6"/>
        <v>0</v>
      </c>
      <c r="AD62" s="245">
        <v>240870.77</v>
      </c>
      <c r="AE62" s="228"/>
      <c r="AF62" s="245">
        <v>236625.22</v>
      </c>
      <c r="AG62" s="228">
        <v>0</v>
      </c>
      <c r="AH62" s="228"/>
      <c r="AI62" s="228"/>
      <c r="AJ62" s="228"/>
      <c r="AK62" s="199">
        <f t="shared" si="10"/>
        <v>236625.22</v>
      </c>
      <c r="AL62" s="85">
        <f t="shared" si="9"/>
        <v>822900.1799999999</v>
      </c>
    </row>
    <row r="63" spans="1:38" s="31" customFormat="1" ht="15">
      <c r="A63" s="57" t="s">
        <v>267</v>
      </c>
      <c r="B63" s="31">
        <v>58</v>
      </c>
      <c r="C63" s="203" t="s">
        <v>268</v>
      </c>
      <c r="D63" s="226"/>
      <c r="E63" s="226"/>
      <c r="F63" s="226">
        <v>193471.97</v>
      </c>
      <c r="G63" s="227"/>
      <c r="H63" s="230">
        <v>486787.09</v>
      </c>
      <c r="I63" s="228"/>
      <c r="J63" s="229"/>
      <c r="K63" s="229">
        <v>191142.30000000002</v>
      </c>
      <c r="L63" s="199">
        <f t="shared" si="3"/>
        <v>871401.3600000001</v>
      </c>
      <c r="M63" s="230"/>
      <c r="N63" s="228"/>
      <c r="O63" s="229">
        <v>3586.18</v>
      </c>
      <c r="P63" s="199">
        <f t="shared" si="4"/>
        <v>3586.18</v>
      </c>
      <c r="Q63" s="228"/>
      <c r="R63" s="229"/>
      <c r="S63" s="229">
        <v>193703.93</v>
      </c>
      <c r="T63" s="228">
        <v>52698.49</v>
      </c>
      <c r="U63" s="199">
        <f t="shared" si="5"/>
        <v>246402.41999999998</v>
      </c>
      <c r="V63" s="229">
        <v>205399.26</v>
      </c>
      <c r="W63" s="227">
        <v>134228.23</v>
      </c>
      <c r="X63" s="228">
        <v>134233.01</v>
      </c>
      <c r="Y63" s="228"/>
      <c r="Z63" s="199">
        <f t="shared" si="8"/>
        <v>473860.5</v>
      </c>
      <c r="AA63" s="227">
        <v>314035.02</v>
      </c>
      <c r="AB63" s="227">
        <v>314035.02</v>
      </c>
      <c r="AC63" s="199">
        <f t="shared" si="6"/>
        <v>628070.04</v>
      </c>
      <c r="AD63" s="245">
        <v>921667.77</v>
      </c>
      <c r="AE63" s="228"/>
      <c r="AF63" s="245">
        <v>811290.77</v>
      </c>
      <c r="AG63" s="228">
        <v>0</v>
      </c>
      <c r="AH63" s="228"/>
      <c r="AI63" s="228"/>
      <c r="AJ63" s="228"/>
      <c r="AK63" s="199">
        <f t="shared" si="10"/>
        <v>811290.77</v>
      </c>
      <c r="AL63" s="85">
        <f t="shared" si="9"/>
        <v>3956279.04</v>
      </c>
    </row>
    <row r="64" spans="1:38" s="31" customFormat="1" ht="15">
      <c r="A64" s="57" t="s">
        <v>269</v>
      </c>
      <c r="B64" s="31">
        <v>59</v>
      </c>
      <c r="C64" s="203" t="s">
        <v>270</v>
      </c>
      <c r="D64" s="226">
        <v>150000</v>
      </c>
      <c r="E64" s="226"/>
      <c r="F64" s="226"/>
      <c r="G64" s="227"/>
      <c r="H64" s="230"/>
      <c r="I64" s="228"/>
      <c r="J64" s="229"/>
      <c r="K64" s="229"/>
      <c r="L64" s="199">
        <f t="shared" si="3"/>
        <v>150000</v>
      </c>
      <c r="M64" s="230"/>
      <c r="N64" s="228"/>
      <c r="O64" s="229"/>
      <c r="P64" s="199">
        <f t="shared" si="4"/>
        <v>0</v>
      </c>
      <c r="Q64" s="228"/>
      <c r="R64" s="229"/>
      <c r="S64" s="229">
        <v>0</v>
      </c>
      <c r="T64" s="228"/>
      <c r="U64" s="199">
        <f t="shared" si="5"/>
        <v>0</v>
      </c>
      <c r="V64" s="229">
        <v>0</v>
      </c>
      <c r="W64" s="227"/>
      <c r="X64" s="228"/>
      <c r="Y64" s="228"/>
      <c r="Z64" s="199">
        <f t="shared" si="8"/>
        <v>0</v>
      </c>
      <c r="AA64" s="227">
        <v>0</v>
      </c>
      <c r="AB64" s="227">
        <v>0</v>
      </c>
      <c r="AC64" s="199">
        <f t="shared" si="6"/>
        <v>0</v>
      </c>
      <c r="AD64" s="245"/>
      <c r="AE64" s="228"/>
      <c r="AF64" s="245">
        <v>0</v>
      </c>
      <c r="AG64" s="228">
        <v>0</v>
      </c>
      <c r="AH64" s="228"/>
      <c r="AI64" s="228"/>
      <c r="AJ64" s="228"/>
      <c r="AK64" s="199">
        <f t="shared" si="10"/>
        <v>0</v>
      </c>
      <c r="AL64" s="85">
        <f t="shared" si="9"/>
        <v>150000</v>
      </c>
    </row>
    <row r="65" spans="1:38" s="31" customFormat="1" ht="15">
      <c r="A65" s="57" t="s">
        <v>271</v>
      </c>
      <c r="B65" s="31">
        <v>60</v>
      </c>
      <c r="C65" s="203" t="s">
        <v>272</v>
      </c>
      <c r="D65" s="226">
        <v>150000</v>
      </c>
      <c r="E65" s="226"/>
      <c r="F65" s="226">
        <v>132017.67</v>
      </c>
      <c r="G65" s="227"/>
      <c r="H65" s="230"/>
      <c r="I65" s="228"/>
      <c r="J65" s="229"/>
      <c r="K65" s="229"/>
      <c r="L65" s="199">
        <f t="shared" si="3"/>
        <v>282017.67000000004</v>
      </c>
      <c r="M65" s="230">
        <v>123404.18</v>
      </c>
      <c r="N65" s="228"/>
      <c r="O65" s="229"/>
      <c r="P65" s="199">
        <f t="shared" si="4"/>
        <v>123404.18</v>
      </c>
      <c r="Q65" s="228"/>
      <c r="R65" s="229"/>
      <c r="S65" s="229">
        <v>0</v>
      </c>
      <c r="T65" s="228"/>
      <c r="U65" s="199">
        <f t="shared" si="5"/>
        <v>0</v>
      </c>
      <c r="V65" s="229">
        <v>0</v>
      </c>
      <c r="W65" s="227"/>
      <c r="X65" s="228"/>
      <c r="Y65" s="228"/>
      <c r="Z65" s="199">
        <f t="shared" si="8"/>
        <v>0</v>
      </c>
      <c r="AA65" s="227">
        <v>0</v>
      </c>
      <c r="AB65" s="227">
        <v>0</v>
      </c>
      <c r="AC65" s="199">
        <f t="shared" si="6"/>
        <v>0</v>
      </c>
      <c r="AD65" s="245">
        <v>352707.95</v>
      </c>
      <c r="AE65" s="228"/>
      <c r="AF65" s="245">
        <v>471352.5</v>
      </c>
      <c r="AG65" s="228">
        <v>0</v>
      </c>
      <c r="AH65" s="228"/>
      <c r="AI65" s="228"/>
      <c r="AJ65" s="228"/>
      <c r="AK65" s="199">
        <f t="shared" si="10"/>
        <v>471352.5</v>
      </c>
      <c r="AL65" s="85">
        <f t="shared" si="9"/>
        <v>1229482.2999999998</v>
      </c>
    </row>
    <row r="66" spans="1:38" s="31" customFormat="1" ht="15">
      <c r="A66" s="57" t="s">
        <v>273</v>
      </c>
      <c r="B66" s="31">
        <v>61</v>
      </c>
      <c r="C66" s="203" t="s">
        <v>274</v>
      </c>
      <c r="D66" s="226"/>
      <c r="E66" s="226"/>
      <c r="F66" s="226"/>
      <c r="G66" s="227"/>
      <c r="H66" s="230"/>
      <c r="I66" s="228"/>
      <c r="J66" s="229"/>
      <c r="K66" s="229"/>
      <c r="L66" s="199">
        <f t="shared" si="3"/>
        <v>0</v>
      </c>
      <c r="M66" s="230">
        <v>262826.63</v>
      </c>
      <c r="N66" s="228"/>
      <c r="O66" s="229">
        <v>67968.1</v>
      </c>
      <c r="P66" s="199">
        <f t="shared" si="4"/>
        <v>330794.73</v>
      </c>
      <c r="Q66" s="228">
        <v>38675.36</v>
      </c>
      <c r="R66" s="229"/>
      <c r="S66" s="229">
        <v>0</v>
      </c>
      <c r="T66" s="228"/>
      <c r="U66" s="199">
        <f t="shared" si="5"/>
        <v>38675.36</v>
      </c>
      <c r="V66" s="229">
        <v>0</v>
      </c>
      <c r="W66" s="227"/>
      <c r="X66" s="228"/>
      <c r="Y66" s="228">
        <v>12339.14</v>
      </c>
      <c r="Z66" s="199">
        <f t="shared" si="8"/>
        <v>12339.14</v>
      </c>
      <c r="AA66" s="227">
        <v>0</v>
      </c>
      <c r="AB66" s="227">
        <v>0</v>
      </c>
      <c r="AC66" s="199">
        <f t="shared" si="6"/>
        <v>0</v>
      </c>
      <c r="AD66" s="245">
        <v>94414.49</v>
      </c>
      <c r="AE66" s="228"/>
      <c r="AF66" s="245">
        <v>220300.46</v>
      </c>
      <c r="AG66" s="228">
        <v>0</v>
      </c>
      <c r="AH66" s="228"/>
      <c r="AI66" s="228"/>
      <c r="AJ66" s="228"/>
      <c r="AK66" s="199">
        <f t="shared" si="10"/>
        <v>220300.46</v>
      </c>
      <c r="AL66" s="85">
        <f t="shared" si="9"/>
        <v>696524.1799999999</v>
      </c>
    </row>
    <row r="67" spans="1:38" s="31" customFormat="1" ht="15">
      <c r="A67" s="57" t="s">
        <v>275</v>
      </c>
      <c r="B67" s="31">
        <v>62</v>
      </c>
      <c r="C67" s="203" t="s">
        <v>276</v>
      </c>
      <c r="D67" s="226"/>
      <c r="E67" s="226"/>
      <c r="F67" s="226"/>
      <c r="G67" s="227"/>
      <c r="H67" s="230"/>
      <c r="I67" s="228"/>
      <c r="J67" s="229"/>
      <c r="K67" s="229"/>
      <c r="L67" s="199">
        <f t="shared" si="3"/>
        <v>0</v>
      </c>
      <c r="M67" s="230"/>
      <c r="N67" s="228"/>
      <c r="O67" s="229"/>
      <c r="P67" s="199">
        <f t="shared" si="4"/>
        <v>0</v>
      </c>
      <c r="Q67" s="228"/>
      <c r="R67" s="229"/>
      <c r="S67" s="229">
        <v>0</v>
      </c>
      <c r="T67" s="228"/>
      <c r="U67" s="199">
        <f t="shared" si="5"/>
        <v>0</v>
      </c>
      <c r="V67" s="229">
        <v>0</v>
      </c>
      <c r="W67" s="227"/>
      <c r="X67" s="228"/>
      <c r="Y67" s="228"/>
      <c r="Z67" s="199">
        <f t="shared" si="8"/>
        <v>0</v>
      </c>
      <c r="AA67" s="227">
        <v>0</v>
      </c>
      <c r="AB67" s="227">
        <v>0</v>
      </c>
      <c r="AC67" s="199">
        <f t="shared" si="6"/>
        <v>0</v>
      </c>
      <c r="AD67" s="245"/>
      <c r="AE67" s="228"/>
      <c r="AF67" s="245">
        <v>0</v>
      </c>
      <c r="AG67" s="228">
        <v>0</v>
      </c>
      <c r="AH67" s="228"/>
      <c r="AI67" s="228"/>
      <c r="AJ67" s="228"/>
      <c r="AK67" s="199">
        <f t="shared" si="10"/>
        <v>0</v>
      </c>
      <c r="AL67" s="85">
        <f t="shared" si="9"/>
        <v>0</v>
      </c>
    </row>
    <row r="68" spans="1:38" s="31" customFormat="1" ht="15">
      <c r="A68" s="57" t="s">
        <v>277</v>
      </c>
      <c r="B68" s="31">
        <v>63</v>
      </c>
      <c r="C68" s="203" t="s">
        <v>278</v>
      </c>
      <c r="D68" s="226"/>
      <c r="E68" s="226"/>
      <c r="F68" s="226">
        <v>9850.31</v>
      </c>
      <c r="G68" s="227"/>
      <c r="H68" s="230"/>
      <c r="I68" s="228"/>
      <c r="J68" s="229"/>
      <c r="K68" s="229"/>
      <c r="L68" s="199">
        <f t="shared" si="3"/>
        <v>9850.31</v>
      </c>
      <c r="M68" s="230"/>
      <c r="N68" s="228"/>
      <c r="O68" s="229"/>
      <c r="P68" s="199">
        <f t="shared" si="4"/>
        <v>0</v>
      </c>
      <c r="Q68" s="228"/>
      <c r="R68" s="229"/>
      <c r="S68" s="229">
        <v>0</v>
      </c>
      <c r="T68" s="228"/>
      <c r="U68" s="199">
        <f t="shared" si="5"/>
        <v>0</v>
      </c>
      <c r="V68" s="229">
        <v>0</v>
      </c>
      <c r="W68" s="227"/>
      <c r="X68" s="228"/>
      <c r="Y68" s="228"/>
      <c r="Z68" s="199">
        <f t="shared" si="8"/>
        <v>0</v>
      </c>
      <c r="AA68" s="227">
        <v>0</v>
      </c>
      <c r="AB68" s="227">
        <v>0</v>
      </c>
      <c r="AC68" s="199">
        <f t="shared" si="6"/>
        <v>0</v>
      </c>
      <c r="AD68" s="245"/>
      <c r="AE68" s="228"/>
      <c r="AF68" s="245">
        <v>0</v>
      </c>
      <c r="AG68" s="228">
        <v>0</v>
      </c>
      <c r="AH68" s="228"/>
      <c r="AI68" s="228"/>
      <c r="AJ68" s="228"/>
      <c r="AK68" s="199">
        <f t="shared" si="10"/>
        <v>0</v>
      </c>
      <c r="AL68" s="85">
        <f t="shared" si="9"/>
        <v>9850.31</v>
      </c>
    </row>
    <row r="69" spans="1:38" s="31" customFormat="1" ht="15">
      <c r="A69" s="57" t="s">
        <v>279</v>
      </c>
      <c r="B69" s="31">
        <v>64</v>
      </c>
      <c r="C69" s="203" t="s">
        <v>280</v>
      </c>
      <c r="D69" s="226"/>
      <c r="E69" s="226"/>
      <c r="F69" s="226"/>
      <c r="G69" s="227"/>
      <c r="H69" s="230"/>
      <c r="I69" s="228"/>
      <c r="J69" s="229"/>
      <c r="K69" s="229"/>
      <c r="L69" s="199">
        <f t="shared" si="3"/>
        <v>0</v>
      </c>
      <c r="M69" s="230"/>
      <c r="N69" s="228"/>
      <c r="O69" s="229"/>
      <c r="P69" s="199">
        <f t="shared" si="4"/>
        <v>0</v>
      </c>
      <c r="Q69" s="228"/>
      <c r="R69" s="229">
        <v>23764.51</v>
      </c>
      <c r="S69" s="229">
        <v>0</v>
      </c>
      <c r="T69" s="228"/>
      <c r="U69" s="199">
        <f t="shared" si="5"/>
        <v>23764.51</v>
      </c>
      <c r="V69" s="229">
        <v>0</v>
      </c>
      <c r="W69" s="227"/>
      <c r="X69" s="228"/>
      <c r="Y69" s="228"/>
      <c r="Z69" s="199">
        <f t="shared" si="8"/>
        <v>0</v>
      </c>
      <c r="AA69" s="227">
        <v>0</v>
      </c>
      <c r="AB69" s="227">
        <v>0</v>
      </c>
      <c r="AC69" s="199">
        <f t="shared" si="6"/>
        <v>0</v>
      </c>
      <c r="AD69" s="245">
        <v>88324.04</v>
      </c>
      <c r="AE69" s="228"/>
      <c r="AF69" s="245">
        <v>0</v>
      </c>
      <c r="AG69" s="228">
        <v>0</v>
      </c>
      <c r="AH69" s="228"/>
      <c r="AI69" s="228"/>
      <c r="AJ69" s="228"/>
      <c r="AK69" s="199">
        <f t="shared" si="10"/>
        <v>0</v>
      </c>
      <c r="AL69" s="85">
        <f t="shared" si="9"/>
        <v>112088.54999999999</v>
      </c>
    </row>
    <row r="70" spans="1:38" s="31" customFormat="1" ht="15">
      <c r="A70" s="57" t="s">
        <v>281</v>
      </c>
      <c r="B70" s="31">
        <v>65</v>
      </c>
      <c r="C70" s="203" t="s">
        <v>282</v>
      </c>
      <c r="D70" s="226"/>
      <c r="E70" s="226"/>
      <c r="F70" s="226"/>
      <c r="G70" s="227"/>
      <c r="H70" s="230"/>
      <c r="I70" s="228"/>
      <c r="J70" s="229"/>
      <c r="K70" s="229"/>
      <c r="L70" s="199">
        <f t="shared" si="3"/>
        <v>0</v>
      </c>
      <c r="M70" s="230">
        <v>25895</v>
      </c>
      <c r="N70" s="228"/>
      <c r="O70" s="229"/>
      <c r="P70" s="199">
        <f t="shared" si="4"/>
        <v>25895</v>
      </c>
      <c r="Q70" s="228"/>
      <c r="R70" s="229"/>
      <c r="S70" s="229">
        <v>0</v>
      </c>
      <c r="T70" s="228"/>
      <c r="U70" s="199">
        <f t="shared" si="5"/>
        <v>0</v>
      </c>
      <c r="V70" s="229">
        <v>0</v>
      </c>
      <c r="W70" s="227"/>
      <c r="X70" s="228"/>
      <c r="Y70" s="228"/>
      <c r="Z70" s="199">
        <f t="shared" si="8"/>
        <v>0</v>
      </c>
      <c r="AA70" s="227">
        <v>0</v>
      </c>
      <c r="AB70" s="227">
        <v>0</v>
      </c>
      <c r="AC70" s="199">
        <f t="shared" si="6"/>
        <v>0</v>
      </c>
      <c r="AD70" s="245"/>
      <c r="AE70" s="228"/>
      <c r="AF70" s="245">
        <v>0</v>
      </c>
      <c r="AG70" s="228">
        <v>0</v>
      </c>
      <c r="AH70" s="228"/>
      <c r="AI70" s="228"/>
      <c r="AJ70" s="228"/>
      <c r="AK70" s="199">
        <f t="shared" si="10"/>
        <v>0</v>
      </c>
      <c r="AL70" s="85">
        <f t="shared" si="9"/>
        <v>25895</v>
      </c>
    </row>
    <row r="71" spans="1:38" s="31" customFormat="1" ht="15">
      <c r="A71" s="57" t="s">
        <v>283</v>
      </c>
      <c r="B71" s="31">
        <v>66</v>
      </c>
      <c r="C71" s="203" t="s">
        <v>284</v>
      </c>
      <c r="D71" s="226"/>
      <c r="E71" s="226"/>
      <c r="F71" s="226"/>
      <c r="G71" s="227"/>
      <c r="H71" s="230"/>
      <c r="I71" s="228"/>
      <c r="J71" s="229"/>
      <c r="K71" s="229"/>
      <c r="L71" s="199">
        <f aca="true" t="shared" si="11" ref="L71:L119">SUM(D71:K71)</f>
        <v>0</v>
      </c>
      <c r="M71" s="230"/>
      <c r="N71" s="228"/>
      <c r="O71" s="229"/>
      <c r="P71" s="199">
        <f aca="true" t="shared" si="12" ref="P71:P119">SUM(M71:O71)</f>
        <v>0</v>
      </c>
      <c r="Q71" s="228"/>
      <c r="R71" s="229"/>
      <c r="S71" s="229">
        <v>0</v>
      </c>
      <c r="T71" s="228"/>
      <c r="U71" s="199">
        <f aca="true" t="shared" si="13" ref="U71:U119">SUM(Q71:T71)</f>
        <v>0</v>
      </c>
      <c r="V71" s="229">
        <v>0</v>
      </c>
      <c r="W71" s="227"/>
      <c r="X71" s="228"/>
      <c r="Y71" s="228"/>
      <c r="Z71" s="199">
        <f aca="true" t="shared" si="14" ref="Z71:Z120">V71+W71+X71+Y71</f>
        <v>0</v>
      </c>
      <c r="AA71" s="227">
        <v>0</v>
      </c>
      <c r="AB71" s="227">
        <v>0</v>
      </c>
      <c r="AC71" s="199">
        <f aca="true" t="shared" si="15" ref="AC71:AC119">SUM(AA71:AB71)</f>
        <v>0</v>
      </c>
      <c r="AD71" s="245"/>
      <c r="AE71" s="228"/>
      <c r="AF71" s="245">
        <v>0</v>
      </c>
      <c r="AG71" s="228">
        <v>0</v>
      </c>
      <c r="AH71" s="228"/>
      <c r="AI71" s="228"/>
      <c r="AJ71" s="228"/>
      <c r="AK71" s="199">
        <f t="shared" si="10"/>
        <v>0</v>
      </c>
      <c r="AL71" s="85">
        <f aca="true" t="shared" si="16" ref="AL71:AL119">+AD71+AK71+AC71+Z71+U71+P71+L71</f>
        <v>0</v>
      </c>
    </row>
    <row r="72" spans="1:38" s="31" customFormat="1" ht="15">
      <c r="A72" s="57" t="s">
        <v>285</v>
      </c>
      <c r="B72" s="31">
        <v>67</v>
      </c>
      <c r="C72" s="203" t="s">
        <v>286</v>
      </c>
      <c r="D72" s="226"/>
      <c r="E72" s="226"/>
      <c r="F72" s="226"/>
      <c r="G72" s="227"/>
      <c r="H72" s="230"/>
      <c r="I72" s="228"/>
      <c r="J72" s="229"/>
      <c r="K72" s="229"/>
      <c r="L72" s="199">
        <f t="shared" si="11"/>
        <v>0</v>
      </c>
      <c r="M72" s="230"/>
      <c r="N72" s="228"/>
      <c r="O72" s="229">
        <v>17272.21</v>
      </c>
      <c r="P72" s="199">
        <f t="shared" si="12"/>
        <v>17272.21</v>
      </c>
      <c r="Q72" s="228">
        <v>9828.27</v>
      </c>
      <c r="R72" s="229"/>
      <c r="S72" s="229">
        <v>29767.51</v>
      </c>
      <c r="T72" s="228"/>
      <c r="U72" s="199">
        <f t="shared" si="13"/>
        <v>39595.78</v>
      </c>
      <c r="V72" s="229">
        <v>31564.79</v>
      </c>
      <c r="W72" s="227">
        <v>25694.39</v>
      </c>
      <c r="X72" s="228"/>
      <c r="Y72" s="228"/>
      <c r="Z72" s="199">
        <f t="shared" si="14"/>
        <v>57259.18</v>
      </c>
      <c r="AA72" s="227">
        <v>60113.58</v>
      </c>
      <c r="AB72" s="227">
        <v>60113.58</v>
      </c>
      <c r="AC72" s="199">
        <f t="shared" si="15"/>
        <v>120227.16</v>
      </c>
      <c r="AD72" s="245"/>
      <c r="AE72" s="228"/>
      <c r="AF72" s="245">
        <v>0</v>
      </c>
      <c r="AG72" s="228">
        <v>0</v>
      </c>
      <c r="AH72" s="228"/>
      <c r="AI72" s="228"/>
      <c r="AJ72" s="228"/>
      <c r="AK72" s="199">
        <f t="shared" si="10"/>
        <v>0</v>
      </c>
      <c r="AL72" s="85">
        <f t="shared" si="16"/>
        <v>234354.33</v>
      </c>
    </row>
    <row r="73" spans="1:38" s="31" customFormat="1" ht="15">
      <c r="A73" s="57" t="s">
        <v>287</v>
      </c>
      <c r="B73" s="31">
        <v>68</v>
      </c>
      <c r="C73" s="203" t="s">
        <v>288</v>
      </c>
      <c r="D73" s="226"/>
      <c r="E73" s="226"/>
      <c r="F73" s="226"/>
      <c r="G73" s="227"/>
      <c r="H73" s="230"/>
      <c r="I73" s="228"/>
      <c r="J73" s="229"/>
      <c r="K73" s="229"/>
      <c r="L73" s="199">
        <f t="shared" si="11"/>
        <v>0</v>
      </c>
      <c r="M73" s="230"/>
      <c r="N73" s="228"/>
      <c r="O73" s="229">
        <v>12116.859999999999</v>
      </c>
      <c r="P73" s="199">
        <f t="shared" si="12"/>
        <v>12116.859999999999</v>
      </c>
      <c r="Q73" s="228">
        <v>6894.76</v>
      </c>
      <c r="R73" s="229"/>
      <c r="S73" s="229">
        <v>0</v>
      </c>
      <c r="T73" s="228"/>
      <c r="U73" s="199">
        <f t="shared" si="13"/>
        <v>6894.76</v>
      </c>
      <c r="V73" s="229">
        <v>0</v>
      </c>
      <c r="W73" s="227"/>
      <c r="X73" s="228"/>
      <c r="Y73" s="228"/>
      <c r="Z73" s="199">
        <f t="shared" si="14"/>
        <v>0</v>
      </c>
      <c r="AA73" s="227">
        <v>0</v>
      </c>
      <c r="AB73" s="227">
        <v>0</v>
      </c>
      <c r="AC73" s="199">
        <f t="shared" si="15"/>
        <v>0</v>
      </c>
      <c r="AD73" s="245">
        <v>22389.09</v>
      </c>
      <c r="AE73" s="228"/>
      <c r="AF73" s="245">
        <v>0.13</v>
      </c>
      <c r="AG73" s="228">
        <v>0</v>
      </c>
      <c r="AH73" s="228"/>
      <c r="AI73" s="228"/>
      <c r="AJ73" s="228"/>
      <c r="AK73" s="199">
        <f t="shared" si="10"/>
        <v>0.13</v>
      </c>
      <c r="AL73" s="85">
        <f t="shared" si="16"/>
        <v>41400.840000000004</v>
      </c>
    </row>
    <row r="74" spans="1:38" s="31" customFormat="1" ht="15">
      <c r="A74" s="57" t="s">
        <v>289</v>
      </c>
      <c r="B74" s="31">
        <v>69</v>
      </c>
      <c r="C74" s="203" t="s">
        <v>290</v>
      </c>
      <c r="D74" s="226"/>
      <c r="E74" s="226"/>
      <c r="F74" s="226"/>
      <c r="G74" s="227"/>
      <c r="H74" s="230"/>
      <c r="I74" s="228">
        <v>136282.48</v>
      </c>
      <c r="J74" s="229"/>
      <c r="K74" s="229"/>
      <c r="L74" s="199">
        <f t="shared" si="11"/>
        <v>136282.48</v>
      </c>
      <c r="M74" s="230"/>
      <c r="N74" s="228"/>
      <c r="O74" s="229"/>
      <c r="P74" s="199">
        <f t="shared" si="12"/>
        <v>0</v>
      </c>
      <c r="Q74" s="228">
        <v>403257.73</v>
      </c>
      <c r="R74" s="229">
        <v>150252.25</v>
      </c>
      <c r="S74" s="229">
        <v>18507.3</v>
      </c>
      <c r="T74" s="228"/>
      <c r="U74" s="199">
        <f t="shared" si="13"/>
        <v>572017.28</v>
      </c>
      <c r="V74" s="229">
        <v>19624.72</v>
      </c>
      <c r="W74" s="227">
        <v>67110.66</v>
      </c>
      <c r="X74" s="228"/>
      <c r="Y74" s="228"/>
      <c r="Z74" s="199">
        <f t="shared" si="14"/>
        <v>86735.38</v>
      </c>
      <c r="AA74" s="227">
        <v>157009.41</v>
      </c>
      <c r="AB74" s="227">
        <v>157009.41</v>
      </c>
      <c r="AC74" s="199">
        <f t="shared" si="15"/>
        <v>314018.82</v>
      </c>
      <c r="AD74" s="245"/>
      <c r="AE74" s="228"/>
      <c r="AF74" s="245">
        <v>0</v>
      </c>
      <c r="AG74" s="228">
        <v>0</v>
      </c>
      <c r="AH74" s="228"/>
      <c r="AI74" s="228"/>
      <c r="AJ74" s="228"/>
      <c r="AK74" s="199">
        <f t="shared" si="10"/>
        <v>0</v>
      </c>
      <c r="AL74" s="85">
        <f t="shared" si="16"/>
        <v>1109053.96</v>
      </c>
    </row>
    <row r="75" spans="1:38" s="31" customFormat="1" ht="15">
      <c r="A75" s="57" t="s">
        <v>291</v>
      </c>
      <c r="B75" s="31">
        <v>70</v>
      </c>
      <c r="C75" s="203" t="s">
        <v>292</v>
      </c>
      <c r="D75" s="226"/>
      <c r="E75" s="226"/>
      <c r="F75" s="226"/>
      <c r="G75" s="227"/>
      <c r="H75" s="230"/>
      <c r="I75" s="228"/>
      <c r="J75" s="229"/>
      <c r="K75" s="229"/>
      <c r="L75" s="199">
        <f t="shared" si="11"/>
        <v>0</v>
      </c>
      <c r="M75" s="230"/>
      <c r="N75" s="228"/>
      <c r="O75" s="229"/>
      <c r="P75" s="199">
        <f t="shared" si="12"/>
        <v>0</v>
      </c>
      <c r="Q75" s="228"/>
      <c r="R75" s="229"/>
      <c r="S75" s="229">
        <v>0</v>
      </c>
      <c r="T75" s="228"/>
      <c r="U75" s="199">
        <f t="shared" si="13"/>
        <v>0</v>
      </c>
      <c r="V75" s="229">
        <v>0</v>
      </c>
      <c r="W75" s="227"/>
      <c r="X75" s="228"/>
      <c r="Y75" s="228"/>
      <c r="Z75" s="199">
        <f t="shared" si="14"/>
        <v>0</v>
      </c>
      <c r="AA75" s="227">
        <v>0</v>
      </c>
      <c r="AB75" s="227">
        <v>0</v>
      </c>
      <c r="AC75" s="199">
        <f t="shared" si="15"/>
        <v>0</v>
      </c>
      <c r="AD75" s="245"/>
      <c r="AE75" s="228"/>
      <c r="AF75" s="245">
        <v>0</v>
      </c>
      <c r="AG75" s="228">
        <v>0</v>
      </c>
      <c r="AH75" s="228"/>
      <c r="AI75" s="228"/>
      <c r="AJ75" s="228"/>
      <c r="AK75" s="199">
        <f t="shared" si="10"/>
        <v>0</v>
      </c>
      <c r="AL75" s="85">
        <f t="shared" si="16"/>
        <v>0</v>
      </c>
    </row>
    <row r="76" spans="1:38" s="31" customFormat="1" ht="15">
      <c r="A76" s="57" t="s">
        <v>293</v>
      </c>
      <c r="B76" s="31">
        <v>71</v>
      </c>
      <c r="C76" s="203" t="s">
        <v>294</v>
      </c>
      <c r="D76" s="226">
        <v>150000</v>
      </c>
      <c r="E76" s="226"/>
      <c r="F76" s="226"/>
      <c r="G76" s="227"/>
      <c r="H76" s="230"/>
      <c r="I76" s="228"/>
      <c r="J76" s="229"/>
      <c r="K76" s="229"/>
      <c r="L76" s="199">
        <f t="shared" si="11"/>
        <v>150000</v>
      </c>
      <c r="M76" s="230"/>
      <c r="N76" s="228"/>
      <c r="O76" s="229">
        <v>21098.65000000001</v>
      </c>
      <c r="P76" s="199">
        <f t="shared" si="12"/>
        <v>21098.65000000001</v>
      </c>
      <c r="Q76" s="228">
        <v>83285.4</v>
      </c>
      <c r="R76" s="229"/>
      <c r="S76" s="229">
        <v>39131.64</v>
      </c>
      <c r="T76" s="228">
        <v>11995.73</v>
      </c>
      <c r="U76" s="199">
        <f t="shared" si="13"/>
        <v>134412.77</v>
      </c>
      <c r="V76" s="229">
        <v>41494.31</v>
      </c>
      <c r="W76" s="227">
        <v>30554.29</v>
      </c>
      <c r="X76" s="228">
        <v>30555.38</v>
      </c>
      <c r="Y76" s="228"/>
      <c r="Z76" s="199">
        <f t="shared" si="14"/>
        <v>102603.98000000001</v>
      </c>
      <c r="AA76" s="227">
        <v>71483.6</v>
      </c>
      <c r="AB76" s="227">
        <v>71483.6</v>
      </c>
      <c r="AC76" s="199">
        <f t="shared" si="15"/>
        <v>142967.2</v>
      </c>
      <c r="AD76" s="245">
        <v>246315</v>
      </c>
      <c r="AE76" s="228"/>
      <c r="AF76" s="245">
        <v>543023.71</v>
      </c>
      <c r="AG76" s="228">
        <v>0</v>
      </c>
      <c r="AH76" s="228"/>
      <c r="AI76" s="228"/>
      <c r="AJ76" s="228"/>
      <c r="AK76" s="199">
        <f t="shared" si="10"/>
        <v>543023.71</v>
      </c>
      <c r="AL76" s="85">
        <f t="shared" si="16"/>
        <v>1340421.3099999998</v>
      </c>
    </row>
    <row r="77" spans="1:38" s="31" customFormat="1" ht="15">
      <c r="A77" s="57" t="s">
        <v>295</v>
      </c>
      <c r="B77" s="31">
        <v>72</v>
      </c>
      <c r="C77" s="203" t="s">
        <v>296</v>
      </c>
      <c r="D77" s="226"/>
      <c r="E77" s="226"/>
      <c r="F77" s="226"/>
      <c r="G77" s="227"/>
      <c r="H77" s="230"/>
      <c r="I77" s="228"/>
      <c r="J77" s="229"/>
      <c r="K77" s="229"/>
      <c r="L77" s="199">
        <f t="shared" si="11"/>
        <v>0</v>
      </c>
      <c r="M77" s="230">
        <v>247373</v>
      </c>
      <c r="N77" s="228"/>
      <c r="O77" s="229"/>
      <c r="P77" s="199">
        <f t="shared" si="12"/>
        <v>247373</v>
      </c>
      <c r="Q77" s="228">
        <v>156541.85</v>
      </c>
      <c r="R77" s="229">
        <v>38878.87</v>
      </c>
      <c r="S77" s="229">
        <v>11126.89</v>
      </c>
      <c r="T77" s="228">
        <v>8392.95</v>
      </c>
      <c r="U77" s="199">
        <f t="shared" si="13"/>
        <v>214940.56</v>
      </c>
      <c r="V77" s="229">
        <v>11798.7</v>
      </c>
      <c r="W77" s="227">
        <v>21377.67</v>
      </c>
      <c r="X77" s="228">
        <v>21378.43</v>
      </c>
      <c r="Y77" s="228"/>
      <c r="Z77" s="199">
        <f t="shared" si="14"/>
        <v>54554.799999999996</v>
      </c>
      <c r="AA77" s="227">
        <v>50014.34</v>
      </c>
      <c r="AB77" s="227">
        <v>50014.34</v>
      </c>
      <c r="AC77" s="199">
        <f t="shared" si="15"/>
        <v>100028.68</v>
      </c>
      <c r="AD77" s="245">
        <v>206992.7</v>
      </c>
      <c r="AE77" s="228"/>
      <c r="AF77" s="245">
        <v>424581.99</v>
      </c>
      <c r="AG77" s="228">
        <v>0</v>
      </c>
      <c r="AH77" s="228"/>
      <c r="AI77" s="228"/>
      <c r="AJ77" s="228"/>
      <c r="AK77" s="199">
        <f t="shared" si="10"/>
        <v>424581.99</v>
      </c>
      <c r="AL77" s="85">
        <f t="shared" si="16"/>
        <v>1248471.73</v>
      </c>
    </row>
    <row r="78" spans="1:38" s="31" customFormat="1" ht="15">
      <c r="A78" s="57" t="s">
        <v>297</v>
      </c>
      <c r="B78" s="31">
        <v>73</v>
      </c>
      <c r="C78" s="203" t="s">
        <v>298</v>
      </c>
      <c r="D78" s="226"/>
      <c r="E78" s="226"/>
      <c r="F78" s="226"/>
      <c r="G78" s="227"/>
      <c r="H78" s="230"/>
      <c r="I78" s="228"/>
      <c r="J78" s="229"/>
      <c r="K78" s="229"/>
      <c r="L78" s="199">
        <f t="shared" si="11"/>
        <v>0</v>
      </c>
      <c r="M78" s="230"/>
      <c r="N78" s="228"/>
      <c r="O78" s="229"/>
      <c r="P78" s="199">
        <f t="shared" si="12"/>
        <v>0</v>
      </c>
      <c r="Q78" s="228"/>
      <c r="R78" s="229"/>
      <c r="S78" s="229">
        <v>0</v>
      </c>
      <c r="T78" s="228"/>
      <c r="U78" s="199">
        <f t="shared" si="13"/>
        <v>0</v>
      </c>
      <c r="V78" s="229">
        <v>0</v>
      </c>
      <c r="W78" s="227"/>
      <c r="X78" s="228"/>
      <c r="Y78" s="228"/>
      <c r="Z78" s="199">
        <f t="shared" si="14"/>
        <v>0</v>
      </c>
      <c r="AA78" s="227">
        <v>0</v>
      </c>
      <c r="AB78" s="227">
        <v>0</v>
      </c>
      <c r="AC78" s="199">
        <f t="shared" si="15"/>
        <v>0</v>
      </c>
      <c r="AD78" s="245">
        <v>2870.61</v>
      </c>
      <c r="AE78" s="228"/>
      <c r="AF78" s="245">
        <v>0</v>
      </c>
      <c r="AG78" s="228">
        <v>0</v>
      </c>
      <c r="AH78" s="228"/>
      <c r="AI78" s="228"/>
      <c r="AJ78" s="228"/>
      <c r="AK78" s="199">
        <f t="shared" si="10"/>
        <v>0</v>
      </c>
      <c r="AL78" s="85">
        <f t="shared" si="16"/>
        <v>2870.61</v>
      </c>
    </row>
    <row r="79" spans="1:38" s="31" customFormat="1" ht="15">
      <c r="A79" s="57" t="s">
        <v>299</v>
      </c>
      <c r="B79" s="31">
        <v>74</v>
      </c>
      <c r="C79" s="204" t="s">
        <v>300</v>
      </c>
      <c r="D79" s="231"/>
      <c r="E79" s="231"/>
      <c r="F79" s="231"/>
      <c r="G79" s="232"/>
      <c r="H79" s="233"/>
      <c r="I79" s="228"/>
      <c r="J79" s="229"/>
      <c r="K79" s="229"/>
      <c r="L79" s="238">
        <f t="shared" si="11"/>
        <v>0</v>
      </c>
      <c r="M79" s="233"/>
      <c r="N79" s="228"/>
      <c r="O79" s="229">
        <v>23320</v>
      </c>
      <c r="P79" s="199">
        <f t="shared" si="12"/>
        <v>23320</v>
      </c>
      <c r="Q79" s="228"/>
      <c r="R79" s="229"/>
      <c r="S79" s="229">
        <v>28260.02</v>
      </c>
      <c r="T79" s="228"/>
      <c r="U79" s="199">
        <f t="shared" si="13"/>
        <v>28260.02</v>
      </c>
      <c r="V79" s="229">
        <v>29966.29</v>
      </c>
      <c r="W79" s="227"/>
      <c r="X79" s="228"/>
      <c r="Y79" s="228"/>
      <c r="Z79" s="199">
        <f t="shared" si="14"/>
        <v>29966.29</v>
      </c>
      <c r="AA79" s="227">
        <v>0</v>
      </c>
      <c r="AB79" s="227">
        <v>0</v>
      </c>
      <c r="AC79" s="199">
        <f t="shared" si="15"/>
        <v>0</v>
      </c>
      <c r="AD79" s="245"/>
      <c r="AE79" s="228"/>
      <c r="AF79" s="245">
        <v>0</v>
      </c>
      <c r="AG79" s="228">
        <v>0</v>
      </c>
      <c r="AH79" s="228"/>
      <c r="AI79" s="228"/>
      <c r="AJ79" s="228"/>
      <c r="AK79" s="199">
        <f t="shared" si="10"/>
        <v>0</v>
      </c>
      <c r="AL79" s="85">
        <f t="shared" si="16"/>
        <v>81546.31</v>
      </c>
    </row>
    <row r="80" spans="1:38" s="31" customFormat="1" ht="15">
      <c r="A80" s="57" t="s">
        <v>301</v>
      </c>
      <c r="B80" s="31">
        <v>75</v>
      </c>
      <c r="C80" s="203" t="s">
        <v>302</v>
      </c>
      <c r="D80" s="226"/>
      <c r="E80" s="226"/>
      <c r="F80" s="226"/>
      <c r="G80" s="227"/>
      <c r="H80" s="230">
        <v>38099.47</v>
      </c>
      <c r="I80" s="228"/>
      <c r="J80" s="229"/>
      <c r="K80" s="229"/>
      <c r="L80" s="199">
        <f t="shared" si="11"/>
        <v>38099.47</v>
      </c>
      <c r="M80" s="230">
        <v>111315.69</v>
      </c>
      <c r="N80" s="228"/>
      <c r="O80" s="229"/>
      <c r="P80" s="199">
        <f t="shared" si="12"/>
        <v>111315.69</v>
      </c>
      <c r="Q80" s="228">
        <v>149424.14</v>
      </c>
      <c r="R80" s="229">
        <v>55674.85</v>
      </c>
      <c r="S80" s="229">
        <v>0</v>
      </c>
      <c r="T80" s="228"/>
      <c r="U80" s="199">
        <f t="shared" si="13"/>
        <v>205098.99000000002</v>
      </c>
      <c r="V80" s="229">
        <v>0</v>
      </c>
      <c r="W80" s="227"/>
      <c r="X80" s="228"/>
      <c r="Y80" s="228"/>
      <c r="Z80" s="199">
        <f t="shared" si="14"/>
        <v>0</v>
      </c>
      <c r="AA80" s="227">
        <v>0</v>
      </c>
      <c r="AB80" s="227">
        <v>0</v>
      </c>
      <c r="AC80" s="199">
        <f t="shared" si="15"/>
        <v>0</v>
      </c>
      <c r="AD80" s="245">
        <v>143055.37</v>
      </c>
      <c r="AE80" s="228"/>
      <c r="AF80" s="245">
        <v>52299.12</v>
      </c>
      <c r="AG80" s="228">
        <v>0</v>
      </c>
      <c r="AH80" s="228"/>
      <c r="AI80" s="228"/>
      <c r="AJ80" s="228"/>
      <c r="AK80" s="199">
        <f t="shared" si="10"/>
        <v>52299.12</v>
      </c>
      <c r="AL80" s="85">
        <f t="shared" si="16"/>
        <v>549868.64</v>
      </c>
    </row>
    <row r="81" spans="1:38" s="31" customFormat="1" ht="15">
      <c r="A81" s="57" t="s">
        <v>303</v>
      </c>
      <c r="B81" s="31">
        <v>76</v>
      </c>
      <c r="C81" s="203" t="s">
        <v>304</v>
      </c>
      <c r="D81" s="226">
        <v>150000</v>
      </c>
      <c r="E81" s="226"/>
      <c r="F81" s="226">
        <v>148384.22</v>
      </c>
      <c r="G81" s="227"/>
      <c r="H81" s="230"/>
      <c r="I81" s="228"/>
      <c r="J81" s="229"/>
      <c r="K81" s="229"/>
      <c r="L81" s="199">
        <f t="shared" si="11"/>
        <v>298384.22</v>
      </c>
      <c r="M81" s="230"/>
      <c r="N81" s="228"/>
      <c r="O81" s="229"/>
      <c r="P81" s="199">
        <f t="shared" si="12"/>
        <v>0</v>
      </c>
      <c r="Q81" s="228">
        <v>225668.56</v>
      </c>
      <c r="R81" s="229">
        <v>84083.22</v>
      </c>
      <c r="S81" s="229">
        <v>15083.27</v>
      </c>
      <c r="T81" s="228">
        <v>11377.23</v>
      </c>
      <c r="U81" s="199">
        <f t="shared" si="13"/>
        <v>336212.28</v>
      </c>
      <c r="V81" s="229">
        <v>15993.96</v>
      </c>
      <c r="W81" s="227">
        <v>28978.91</v>
      </c>
      <c r="X81" s="228">
        <v>28979.95</v>
      </c>
      <c r="Y81" s="228"/>
      <c r="Z81" s="199">
        <f t="shared" si="14"/>
        <v>73952.81999999999</v>
      </c>
      <c r="AA81" s="227">
        <v>67797.91</v>
      </c>
      <c r="AB81" s="227">
        <v>67797.91</v>
      </c>
      <c r="AC81" s="199">
        <f t="shared" si="15"/>
        <v>135595.82</v>
      </c>
      <c r="AD81" s="245">
        <v>203426.72</v>
      </c>
      <c r="AE81" s="228"/>
      <c r="AF81" s="245">
        <v>87182.88</v>
      </c>
      <c r="AG81" s="228">
        <v>0</v>
      </c>
      <c r="AH81" s="228"/>
      <c r="AI81" s="228"/>
      <c r="AJ81" s="228"/>
      <c r="AK81" s="199">
        <f t="shared" si="10"/>
        <v>87182.88</v>
      </c>
      <c r="AL81" s="85">
        <f t="shared" si="16"/>
        <v>1134754.74</v>
      </c>
    </row>
    <row r="82" spans="1:38" s="31" customFormat="1" ht="15">
      <c r="A82" s="57" t="s">
        <v>305</v>
      </c>
      <c r="B82" s="31">
        <v>77</v>
      </c>
      <c r="C82" s="203" t="s">
        <v>306</v>
      </c>
      <c r="D82" s="226"/>
      <c r="E82" s="226"/>
      <c r="F82" s="226"/>
      <c r="G82" s="227"/>
      <c r="H82" s="230"/>
      <c r="I82" s="228">
        <v>182507.4</v>
      </c>
      <c r="J82" s="229"/>
      <c r="K82" s="229"/>
      <c r="L82" s="199">
        <f t="shared" si="11"/>
        <v>182507.4</v>
      </c>
      <c r="M82" s="230"/>
      <c r="N82" s="228"/>
      <c r="O82" s="229"/>
      <c r="P82" s="199">
        <f t="shared" si="12"/>
        <v>0</v>
      </c>
      <c r="Q82" s="228"/>
      <c r="R82" s="229"/>
      <c r="S82" s="229">
        <v>5969.69</v>
      </c>
      <c r="T82" s="228"/>
      <c r="U82" s="199">
        <f t="shared" si="13"/>
        <v>5969.69</v>
      </c>
      <c r="V82" s="229">
        <v>6330.12</v>
      </c>
      <c r="W82" s="227"/>
      <c r="X82" s="228"/>
      <c r="Y82" s="228"/>
      <c r="Z82" s="199">
        <f t="shared" si="14"/>
        <v>6330.12</v>
      </c>
      <c r="AA82" s="227">
        <v>0</v>
      </c>
      <c r="AB82" s="227">
        <v>0</v>
      </c>
      <c r="AC82" s="199">
        <f t="shared" si="15"/>
        <v>0</v>
      </c>
      <c r="AD82" s="245"/>
      <c r="AE82" s="228"/>
      <c r="AF82" s="245">
        <v>0</v>
      </c>
      <c r="AG82" s="228">
        <v>0</v>
      </c>
      <c r="AH82" s="228"/>
      <c r="AI82" s="228"/>
      <c r="AJ82" s="228"/>
      <c r="AK82" s="199">
        <f t="shared" si="10"/>
        <v>0</v>
      </c>
      <c r="AL82" s="85">
        <f t="shared" si="16"/>
        <v>194807.21</v>
      </c>
    </row>
    <row r="83" spans="1:38" s="31" customFormat="1" ht="15">
      <c r="A83" s="57" t="s">
        <v>307</v>
      </c>
      <c r="B83" s="31">
        <v>78</v>
      </c>
      <c r="C83" s="203" t="s">
        <v>308</v>
      </c>
      <c r="D83" s="226"/>
      <c r="E83" s="226"/>
      <c r="F83" s="226"/>
      <c r="G83" s="227"/>
      <c r="H83" s="230">
        <v>205000</v>
      </c>
      <c r="I83" s="228"/>
      <c r="J83" s="229"/>
      <c r="K83" s="229"/>
      <c r="L83" s="199">
        <f t="shared" si="11"/>
        <v>205000</v>
      </c>
      <c r="M83" s="230">
        <v>6135.87</v>
      </c>
      <c r="N83" s="228"/>
      <c r="O83" s="229"/>
      <c r="P83" s="199">
        <f t="shared" si="12"/>
        <v>6135.87</v>
      </c>
      <c r="Q83" s="228">
        <v>112203.98</v>
      </c>
      <c r="R83" s="229">
        <v>41806.76</v>
      </c>
      <c r="S83" s="229">
        <v>34214.39</v>
      </c>
      <c r="T83" s="228">
        <v>4654.56</v>
      </c>
      <c r="U83" s="199">
        <f t="shared" si="13"/>
        <v>192879.69</v>
      </c>
      <c r="V83" s="229">
        <v>36280.16</v>
      </c>
      <c r="W83" s="227">
        <v>11855.61</v>
      </c>
      <c r="X83" s="228">
        <v>11856.03</v>
      </c>
      <c r="Y83" s="228"/>
      <c r="Z83" s="199">
        <f t="shared" si="14"/>
        <v>59991.8</v>
      </c>
      <c r="AA83" s="227">
        <v>27736.92</v>
      </c>
      <c r="AB83" s="227">
        <v>27736.92</v>
      </c>
      <c r="AC83" s="199">
        <f t="shared" si="15"/>
        <v>55473.84</v>
      </c>
      <c r="AD83" s="245">
        <v>174563.21</v>
      </c>
      <c r="AE83" s="228"/>
      <c r="AF83" s="245">
        <v>263190.3</v>
      </c>
      <c r="AG83" s="228">
        <v>0</v>
      </c>
      <c r="AH83" s="228"/>
      <c r="AI83" s="228"/>
      <c r="AJ83" s="228"/>
      <c r="AK83" s="199">
        <f t="shared" si="10"/>
        <v>263190.3</v>
      </c>
      <c r="AL83" s="85">
        <f t="shared" si="16"/>
        <v>957234.7100000001</v>
      </c>
    </row>
    <row r="84" spans="1:38" s="31" customFormat="1" ht="15">
      <c r="A84" s="57" t="s">
        <v>309</v>
      </c>
      <c r="B84" s="31">
        <v>79</v>
      </c>
      <c r="C84" s="203" t="s">
        <v>310</v>
      </c>
      <c r="D84" s="226"/>
      <c r="E84" s="226"/>
      <c r="F84" s="226">
        <v>36055.11</v>
      </c>
      <c r="G84" s="227"/>
      <c r="H84" s="230"/>
      <c r="I84" s="228"/>
      <c r="J84" s="229"/>
      <c r="K84" s="229"/>
      <c r="L84" s="199">
        <f t="shared" si="11"/>
        <v>36055.11</v>
      </c>
      <c r="M84" s="230"/>
      <c r="N84" s="228"/>
      <c r="O84" s="229">
        <v>103991.48999999999</v>
      </c>
      <c r="P84" s="199">
        <f t="shared" si="12"/>
        <v>103991.48999999999</v>
      </c>
      <c r="Q84" s="228">
        <v>59173.48</v>
      </c>
      <c r="R84" s="229"/>
      <c r="S84" s="229">
        <v>35931.66</v>
      </c>
      <c r="T84" s="228">
        <v>27103.05</v>
      </c>
      <c r="U84" s="199">
        <f t="shared" si="13"/>
        <v>122208.19000000002</v>
      </c>
      <c r="V84" s="229">
        <v>38101.11</v>
      </c>
      <c r="W84" s="227">
        <v>69034.13</v>
      </c>
      <c r="X84" s="228">
        <v>69036.58</v>
      </c>
      <c r="Y84" s="228"/>
      <c r="Z84" s="199">
        <f t="shared" si="14"/>
        <v>176171.82</v>
      </c>
      <c r="AA84" s="227">
        <v>161509.49</v>
      </c>
      <c r="AB84" s="227">
        <v>161509.49</v>
      </c>
      <c r="AC84" s="199">
        <f t="shared" si="15"/>
        <v>323018.98</v>
      </c>
      <c r="AD84" s="245">
        <v>73654.75</v>
      </c>
      <c r="AE84" s="228"/>
      <c r="AF84" s="245">
        <v>41521.41</v>
      </c>
      <c r="AG84" s="228">
        <v>0</v>
      </c>
      <c r="AH84" s="228"/>
      <c r="AI84" s="228"/>
      <c r="AJ84" s="228"/>
      <c r="AK84" s="199">
        <f t="shared" si="10"/>
        <v>41521.41</v>
      </c>
      <c r="AL84" s="85">
        <f t="shared" si="16"/>
        <v>876621.75</v>
      </c>
    </row>
    <row r="85" spans="1:38" s="31" customFormat="1" ht="15">
      <c r="A85" s="57" t="s">
        <v>311</v>
      </c>
      <c r="B85" s="31">
        <v>80</v>
      </c>
      <c r="C85" s="203" t="s">
        <v>312</v>
      </c>
      <c r="D85" s="226">
        <v>150000</v>
      </c>
      <c r="E85" s="226"/>
      <c r="F85" s="226"/>
      <c r="G85" s="227">
        <v>44254.79</v>
      </c>
      <c r="H85" s="230"/>
      <c r="I85" s="228"/>
      <c r="J85" s="229"/>
      <c r="K85" s="229"/>
      <c r="L85" s="199">
        <f t="shared" si="11"/>
        <v>194254.79</v>
      </c>
      <c r="M85" s="230"/>
      <c r="N85" s="228"/>
      <c r="O85" s="229"/>
      <c r="P85" s="199">
        <f t="shared" si="12"/>
        <v>0</v>
      </c>
      <c r="Q85" s="228">
        <v>1346749.23</v>
      </c>
      <c r="R85" s="229">
        <v>501793.48</v>
      </c>
      <c r="S85" s="229">
        <v>533221.46</v>
      </c>
      <c r="T85" s="228">
        <v>180699.87</v>
      </c>
      <c r="U85" s="199">
        <f t="shared" si="13"/>
        <v>2562464.04</v>
      </c>
      <c r="V85" s="229">
        <v>565415.96</v>
      </c>
      <c r="W85" s="227">
        <v>460260.31</v>
      </c>
      <c r="X85" s="228">
        <v>460276.69</v>
      </c>
      <c r="Y85" s="228"/>
      <c r="Z85" s="199">
        <f t="shared" si="14"/>
        <v>1485952.96</v>
      </c>
      <c r="AA85" s="227">
        <v>1076806.65</v>
      </c>
      <c r="AB85" s="227">
        <v>1076806.65</v>
      </c>
      <c r="AC85" s="199">
        <f t="shared" si="15"/>
        <v>2153613.3</v>
      </c>
      <c r="AD85" s="245">
        <v>672534.79</v>
      </c>
      <c r="AE85" s="228"/>
      <c r="AF85" s="245">
        <v>0</v>
      </c>
      <c r="AG85" s="228">
        <v>0</v>
      </c>
      <c r="AH85" s="228"/>
      <c r="AI85" s="228"/>
      <c r="AJ85" s="228"/>
      <c r="AK85" s="199">
        <f t="shared" si="10"/>
        <v>0</v>
      </c>
      <c r="AL85" s="85">
        <f t="shared" si="16"/>
        <v>7068819.88</v>
      </c>
    </row>
    <row r="86" spans="1:38" s="31" customFormat="1" ht="15">
      <c r="A86" s="57" t="s">
        <v>313</v>
      </c>
      <c r="B86" s="31">
        <v>81</v>
      </c>
      <c r="C86" s="203" t="s">
        <v>314</v>
      </c>
      <c r="D86" s="226">
        <v>150000</v>
      </c>
      <c r="E86" s="226"/>
      <c r="F86" s="226">
        <v>29339.8</v>
      </c>
      <c r="G86" s="227"/>
      <c r="H86" s="230"/>
      <c r="I86" s="228"/>
      <c r="J86" s="229"/>
      <c r="K86" s="229"/>
      <c r="L86" s="199">
        <f t="shared" si="11"/>
        <v>179339.8</v>
      </c>
      <c r="M86" s="230">
        <v>1856.38</v>
      </c>
      <c r="N86" s="228"/>
      <c r="O86" s="229"/>
      <c r="P86" s="199">
        <f t="shared" si="12"/>
        <v>1856.38</v>
      </c>
      <c r="Q86" s="228"/>
      <c r="R86" s="229"/>
      <c r="S86" s="229">
        <v>35652.84</v>
      </c>
      <c r="T86" s="228">
        <v>12082.15</v>
      </c>
      <c r="U86" s="199">
        <f t="shared" si="13"/>
        <v>47734.99</v>
      </c>
      <c r="V86" s="229">
        <v>37805.47</v>
      </c>
      <c r="W86" s="227">
        <v>30774.43</v>
      </c>
      <c r="X86" s="228">
        <v>30775.53</v>
      </c>
      <c r="Y86" s="228"/>
      <c r="Z86" s="199">
        <f t="shared" si="14"/>
        <v>99355.43</v>
      </c>
      <c r="AA86" s="227">
        <v>71998.64</v>
      </c>
      <c r="AB86" s="227">
        <v>71998.64</v>
      </c>
      <c r="AC86" s="199">
        <f t="shared" si="15"/>
        <v>143997.28</v>
      </c>
      <c r="AD86" s="245">
        <v>296596</v>
      </c>
      <c r="AE86" s="228"/>
      <c r="AF86" s="245">
        <v>325181.56</v>
      </c>
      <c r="AG86" s="228">
        <v>0</v>
      </c>
      <c r="AH86" s="228"/>
      <c r="AI86" s="228"/>
      <c r="AJ86" s="228"/>
      <c r="AK86" s="199">
        <f t="shared" si="10"/>
        <v>325181.56</v>
      </c>
      <c r="AL86" s="85">
        <f t="shared" si="16"/>
        <v>1094061.44</v>
      </c>
    </row>
    <row r="87" spans="1:38" s="31" customFormat="1" ht="15">
      <c r="A87" s="57" t="s">
        <v>315</v>
      </c>
      <c r="B87" s="31">
        <v>82</v>
      </c>
      <c r="C87" s="203" t="s">
        <v>316</v>
      </c>
      <c r="D87" s="226">
        <v>150000</v>
      </c>
      <c r="E87" s="226"/>
      <c r="F87" s="226">
        <v>287227.66</v>
      </c>
      <c r="G87" s="227"/>
      <c r="H87" s="230"/>
      <c r="I87" s="228"/>
      <c r="J87" s="229"/>
      <c r="K87" s="229"/>
      <c r="L87" s="199">
        <f t="shared" si="11"/>
        <v>437227.66</v>
      </c>
      <c r="M87" s="230">
        <v>173479.03</v>
      </c>
      <c r="N87" s="228"/>
      <c r="O87" s="229"/>
      <c r="P87" s="199">
        <f t="shared" si="12"/>
        <v>173479.03</v>
      </c>
      <c r="Q87" s="228">
        <v>7721125.79</v>
      </c>
      <c r="R87" s="229">
        <v>2876861.19</v>
      </c>
      <c r="S87" s="229">
        <v>180138.04</v>
      </c>
      <c r="T87" s="228">
        <v>256453.24</v>
      </c>
      <c r="U87" s="199">
        <f t="shared" si="13"/>
        <v>11034578.26</v>
      </c>
      <c r="V87" s="229">
        <v>191014.3</v>
      </c>
      <c r="W87" s="227">
        <v>653211.58</v>
      </c>
      <c r="X87" s="228">
        <v>653234.83</v>
      </c>
      <c r="Y87" s="228">
        <v>293340.74</v>
      </c>
      <c r="Z87" s="199">
        <f t="shared" si="14"/>
        <v>1790801.45</v>
      </c>
      <c r="AA87" s="227">
        <v>1528227.76</v>
      </c>
      <c r="AB87" s="227">
        <v>1528227.76</v>
      </c>
      <c r="AC87" s="199">
        <f t="shared" si="15"/>
        <v>3056455.52</v>
      </c>
      <c r="AD87" s="245">
        <v>3314959.97</v>
      </c>
      <c r="AE87" s="228"/>
      <c r="AF87" s="245">
        <v>7625378.97</v>
      </c>
      <c r="AG87" s="228">
        <v>0</v>
      </c>
      <c r="AH87" s="228"/>
      <c r="AI87" s="228"/>
      <c r="AJ87" s="228"/>
      <c r="AK87" s="199">
        <f t="shared" si="10"/>
        <v>7625378.97</v>
      </c>
      <c r="AL87" s="85">
        <f t="shared" si="16"/>
        <v>27432880.86</v>
      </c>
    </row>
    <row r="88" spans="1:38" s="31" customFormat="1" ht="15">
      <c r="A88" s="57" t="s">
        <v>317</v>
      </c>
      <c r="B88" s="31">
        <v>83</v>
      </c>
      <c r="C88" s="203" t="s">
        <v>318</v>
      </c>
      <c r="D88" s="226"/>
      <c r="E88" s="226"/>
      <c r="F88" s="226"/>
      <c r="G88" s="227"/>
      <c r="H88" s="230"/>
      <c r="I88" s="228"/>
      <c r="J88" s="229"/>
      <c r="K88" s="229"/>
      <c r="L88" s="199">
        <f t="shared" si="11"/>
        <v>0</v>
      </c>
      <c r="M88" s="230"/>
      <c r="N88" s="228"/>
      <c r="O88" s="229"/>
      <c r="P88" s="199">
        <f t="shared" si="12"/>
        <v>0</v>
      </c>
      <c r="Q88" s="228">
        <v>79681.33</v>
      </c>
      <c r="R88" s="229">
        <v>29688.95</v>
      </c>
      <c r="S88" s="229">
        <v>25778.3</v>
      </c>
      <c r="T88" s="228"/>
      <c r="U88" s="199">
        <f t="shared" si="13"/>
        <v>135148.58</v>
      </c>
      <c r="V88" s="229">
        <v>27334.73</v>
      </c>
      <c r="W88" s="227"/>
      <c r="X88" s="228"/>
      <c r="Y88" s="228"/>
      <c r="Z88" s="199">
        <f t="shared" si="14"/>
        <v>27334.73</v>
      </c>
      <c r="AA88" s="227">
        <v>0</v>
      </c>
      <c r="AB88" s="227">
        <v>0</v>
      </c>
      <c r="AC88" s="199">
        <f t="shared" si="15"/>
        <v>0</v>
      </c>
      <c r="AD88" s="245"/>
      <c r="AE88" s="228"/>
      <c r="AF88" s="245">
        <v>0</v>
      </c>
      <c r="AG88" s="228">
        <v>0</v>
      </c>
      <c r="AH88" s="228"/>
      <c r="AI88" s="228"/>
      <c r="AJ88" s="228"/>
      <c r="AK88" s="199">
        <f t="shared" si="10"/>
        <v>0</v>
      </c>
      <c r="AL88" s="85">
        <f t="shared" si="16"/>
        <v>162483.31</v>
      </c>
    </row>
    <row r="89" spans="1:38" s="31" customFormat="1" ht="15">
      <c r="A89" s="57" t="s">
        <v>319</v>
      </c>
      <c r="B89" s="31">
        <v>84</v>
      </c>
      <c r="C89" s="203" t="s">
        <v>320</v>
      </c>
      <c r="D89" s="226">
        <v>150000</v>
      </c>
      <c r="E89" s="226"/>
      <c r="F89" s="226"/>
      <c r="G89" s="227">
        <v>76751.38</v>
      </c>
      <c r="H89" s="230"/>
      <c r="I89" s="228"/>
      <c r="J89" s="229"/>
      <c r="K89" s="229"/>
      <c r="L89" s="199">
        <f t="shared" si="11"/>
        <v>226751.38</v>
      </c>
      <c r="M89" s="230"/>
      <c r="N89" s="228"/>
      <c r="O89" s="229"/>
      <c r="P89" s="199">
        <f t="shared" si="12"/>
        <v>0</v>
      </c>
      <c r="Q89" s="228">
        <v>67228.83</v>
      </c>
      <c r="R89" s="229">
        <v>25049.2</v>
      </c>
      <c r="S89" s="229">
        <v>0</v>
      </c>
      <c r="T89" s="228"/>
      <c r="U89" s="199">
        <f t="shared" si="13"/>
        <v>92278.03</v>
      </c>
      <c r="V89" s="229">
        <v>0</v>
      </c>
      <c r="W89" s="227"/>
      <c r="X89" s="228"/>
      <c r="Y89" s="228"/>
      <c r="Z89" s="199">
        <f t="shared" si="14"/>
        <v>0</v>
      </c>
      <c r="AA89" s="227">
        <v>0</v>
      </c>
      <c r="AB89" s="227">
        <v>0</v>
      </c>
      <c r="AC89" s="199">
        <f t="shared" si="15"/>
        <v>0</v>
      </c>
      <c r="AD89" s="245"/>
      <c r="AE89" s="228"/>
      <c r="AF89" s="245">
        <v>0</v>
      </c>
      <c r="AG89" s="228">
        <v>0</v>
      </c>
      <c r="AH89" s="228"/>
      <c r="AI89" s="228"/>
      <c r="AJ89" s="228"/>
      <c r="AK89" s="199">
        <f t="shared" si="10"/>
        <v>0</v>
      </c>
      <c r="AL89" s="85">
        <f t="shared" si="16"/>
        <v>319029.41000000003</v>
      </c>
    </row>
    <row r="90" spans="1:38" s="31" customFormat="1" ht="15">
      <c r="A90" s="57" t="s">
        <v>321</v>
      </c>
      <c r="B90" s="31">
        <v>85</v>
      </c>
      <c r="C90" s="203" t="s">
        <v>322</v>
      </c>
      <c r="D90" s="226">
        <v>150000</v>
      </c>
      <c r="E90" s="226"/>
      <c r="F90" s="226"/>
      <c r="G90" s="227"/>
      <c r="H90" s="230"/>
      <c r="I90" s="228"/>
      <c r="J90" s="229"/>
      <c r="K90" s="229"/>
      <c r="L90" s="199">
        <f t="shared" si="11"/>
        <v>150000</v>
      </c>
      <c r="M90" s="230"/>
      <c r="N90" s="228"/>
      <c r="O90" s="229"/>
      <c r="P90" s="199">
        <f t="shared" si="12"/>
        <v>0</v>
      </c>
      <c r="Q90" s="228"/>
      <c r="R90" s="229"/>
      <c r="S90" s="229">
        <v>0</v>
      </c>
      <c r="T90" s="228"/>
      <c r="U90" s="199">
        <f t="shared" si="13"/>
        <v>0</v>
      </c>
      <c r="V90" s="229">
        <v>0</v>
      </c>
      <c r="W90" s="227"/>
      <c r="X90" s="228"/>
      <c r="Y90" s="228"/>
      <c r="Z90" s="199">
        <f t="shared" si="14"/>
        <v>0</v>
      </c>
      <c r="AA90" s="227">
        <v>0</v>
      </c>
      <c r="AB90" s="227">
        <v>0</v>
      </c>
      <c r="AC90" s="199">
        <f t="shared" si="15"/>
        <v>0</v>
      </c>
      <c r="AD90" s="245"/>
      <c r="AE90" s="228"/>
      <c r="AF90" s="245">
        <v>0</v>
      </c>
      <c r="AG90" s="228">
        <v>0</v>
      </c>
      <c r="AH90" s="228"/>
      <c r="AI90" s="228"/>
      <c r="AJ90" s="228"/>
      <c r="AK90" s="199">
        <f t="shared" si="10"/>
        <v>0</v>
      </c>
      <c r="AL90" s="85">
        <f t="shared" si="16"/>
        <v>150000</v>
      </c>
    </row>
    <row r="91" spans="1:38" s="31" customFormat="1" ht="15">
      <c r="A91" s="57" t="s">
        <v>323</v>
      </c>
      <c r="B91" s="31">
        <v>86</v>
      </c>
      <c r="C91" s="203" t="s">
        <v>324</v>
      </c>
      <c r="D91" s="226"/>
      <c r="E91" s="226"/>
      <c r="F91" s="226"/>
      <c r="G91" s="227"/>
      <c r="H91" s="230"/>
      <c r="I91" s="228"/>
      <c r="J91" s="229"/>
      <c r="K91" s="229"/>
      <c r="L91" s="199">
        <f t="shared" si="11"/>
        <v>0</v>
      </c>
      <c r="M91" s="230">
        <v>19453.04</v>
      </c>
      <c r="N91" s="228"/>
      <c r="O91" s="229"/>
      <c r="P91" s="199">
        <f t="shared" si="12"/>
        <v>19453.04</v>
      </c>
      <c r="Q91" s="228"/>
      <c r="R91" s="229"/>
      <c r="S91" s="229">
        <v>0</v>
      </c>
      <c r="T91" s="228"/>
      <c r="U91" s="199">
        <f t="shared" si="13"/>
        <v>0</v>
      </c>
      <c r="V91" s="229">
        <v>0</v>
      </c>
      <c r="W91" s="227"/>
      <c r="X91" s="228"/>
      <c r="Y91" s="228"/>
      <c r="Z91" s="199">
        <f t="shared" si="14"/>
        <v>0</v>
      </c>
      <c r="AA91" s="227">
        <v>0</v>
      </c>
      <c r="AB91" s="227">
        <v>0</v>
      </c>
      <c r="AC91" s="199">
        <f t="shared" si="15"/>
        <v>0</v>
      </c>
      <c r="AD91" s="245"/>
      <c r="AE91" s="228"/>
      <c r="AF91" s="245">
        <v>0</v>
      </c>
      <c r="AG91" s="228">
        <v>0</v>
      </c>
      <c r="AH91" s="228"/>
      <c r="AI91" s="228"/>
      <c r="AJ91" s="228"/>
      <c r="AK91" s="199">
        <f t="shared" si="10"/>
        <v>0</v>
      </c>
      <c r="AL91" s="85">
        <f t="shared" si="16"/>
        <v>19453.04</v>
      </c>
    </row>
    <row r="92" spans="1:38" s="31" customFormat="1" ht="15">
      <c r="A92" s="57" t="s">
        <v>325</v>
      </c>
      <c r="B92" s="31">
        <v>87</v>
      </c>
      <c r="C92" s="203" t="s">
        <v>326</v>
      </c>
      <c r="D92" s="226"/>
      <c r="E92" s="226"/>
      <c r="F92" s="226"/>
      <c r="G92" s="227"/>
      <c r="H92" s="230"/>
      <c r="I92" s="228"/>
      <c r="J92" s="229"/>
      <c r="K92" s="229"/>
      <c r="L92" s="199">
        <f t="shared" si="11"/>
        <v>0</v>
      </c>
      <c r="M92" s="230"/>
      <c r="N92" s="228"/>
      <c r="O92" s="229">
        <v>16030.12</v>
      </c>
      <c r="P92" s="199">
        <f t="shared" si="12"/>
        <v>16030.12</v>
      </c>
      <c r="Q92" s="228">
        <v>9121.49</v>
      </c>
      <c r="R92" s="229"/>
      <c r="S92" s="229">
        <v>8120.99</v>
      </c>
      <c r="T92" s="228"/>
      <c r="U92" s="199">
        <f t="shared" si="13"/>
        <v>17242.48</v>
      </c>
      <c r="V92" s="229">
        <v>8611.31</v>
      </c>
      <c r="W92" s="227"/>
      <c r="X92" s="228"/>
      <c r="Y92" s="228"/>
      <c r="Z92" s="199">
        <f t="shared" si="14"/>
        <v>8611.31</v>
      </c>
      <c r="AA92" s="227">
        <v>0</v>
      </c>
      <c r="AB92" s="227">
        <v>0</v>
      </c>
      <c r="AC92" s="199">
        <f t="shared" si="15"/>
        <v>0</v>
      </c>
      <c r="AD92" s="245">
        <v>178139.07</v>
      </c>
      <c r="AE92" s="228"/>
      <c r="AF92" s="245">
        <v>35826.13</v>
      </c>
      <c r="AG92" s="228">
        <v>0</v>
      </c>
      <c r="AH92" s="228"/>
      <c r="AI92" s="228"/>
      <c r="AJ92" s="228"/>
      <c r="AK92" s="199">
        <f t="shared" si="10"/>
        <v>35826.13</v>
      </c>
      <c r="AL92" s="85">
        <f t="shared" si="16"/>
        <v>255849.11000000002</v>
      </c>
    </row>
    <row r="93" spans="1:38" s="31" customFormat="1" ht="15">
      <c r="A93" s="57" t="s">
        <v>327</v>
      </c>
      <c r="B93" s="31">
        <v>88</v>
      </c>
      <c r="C93" s="203" t="s">
        <v>328</v>
      </c>
      <c r="D93" s="226"/>
      <c r="E93" s="226"/>
      <c r="F93" s="226"/>
      <c r="G93" s="227"/>
      <c r="H93" s="230"/>
      <c r="I93" s="228"/>
      <c r="J93" s="229"/>
      <c r="K93" s="229"/>
      <c r="L93" s="199">
        <f t="shared" si="11"/>
        <v>0</v>
      </c>
      <c r="M93" s="230"/>
      <c r="N93" s="228"/>
      <c r="O93" s="229"/>
      <c r="P93" s="199">
        <f t="shared" si="12"/>
        <v>0</v>
      </c>
      <c r="Q93" s="228">
        <v>671070.76</v>
      </c>
      <c r="R93" s="229">
        <v>250038.34</v>
      </c>
      <c r="S93" s="229">
        <v>0</v>
      </c>
      <c r="T93" s="228"/>
      <c r="U93" s="199">
        <f t="shared" si="13"/>
        <v>921109.1</v>
      </c>
      <c r="V93" s="229">
        <v>0</v>
      </c>
      <c r="W93" s="227"/>
      <c r="X93" s="228"/>
      <c r="Y93" s="228"/>
      <c r="Z93" s="199">
        <f t="shared" si="14"/>
        <v>0</v>
      </c>
      <c r="AA93" s="227">
        <v>0</v>
      </c>
      <c r="AB93" s="227">
        <v>0</v>
      </c>
      <c r="AC93" s="199">
        <f t="shared" si="15"/>
        <v>0</v>
      </c>
      <c r="AD93" s="245"/>
      <c r="AE93" s="228"/>
      <c r="AF93" s="245">
        <v>0</v>
      </c>
      <c r="AG93" s="228">
        <v>0</v>
      </c>
      <c r="AH93" s="228"/>
      <c r="AI93" s="228"/>
      <c r="AJ93" s="228"/>
      <c r="AK93" s="199">
        <f t="shared" si="10"/>
        <v>0</v>
      </c>
      <c r="AL93" s="85">
        <f t="shared" si="16"/>
        <v>921109.1</v>
      </c>
    </row>
    <row r="94" spans="1:38" s="31" customFormat="1" ht="15">
      <c r="A94" s="57" t="s">
        <v>329</v>
      </c>
      <c r="B94" s="31">
        <v>89</v>
      </c>
      <c r="C94" s="203" t="s">
        <v>330</v>
      </c>
      <c r="D94" s="231">
        <v>150000</v>
      </c>
      <c r="E94" s="231"/>
      <c r="F94" s="231"/>
      <c r="G94" s="232"/>
      <c r="H94" s="233"/>
      <c r="I94" s="228">
        <v>38773.51</v>
      </c>
      <c r="J94" s="229"/>
      <c r="K94" s="229"/>
      <c r="L94" s="238">
        <f t="shared" si="11"/>
        <v>188773.51</v>
      </c>
      <c r="M94" s="233"/>
      <c r="N94" s="228">
        <v>403307.56</v>
      </c>
      <c r="O94" s="229"/>
      <c r="P94" s="199">
        <f t="shared" si="12"/>
        <v>403307.56</v>
      </c>
      <c r="Q94" s="228"/>
      <c r="R94" s="229"/>
      <c r="S94" s="229">
        <v>1048767.2</v>
      </c>
      <c r="T94" s="228">
        <v>785072.82</v>
      </c>
      <c r="U94" s="199">
        <f t="shared" si="13"/>
        <v>1833840.02</v>
      </c>
      <c r="V94" s="229">
        <v>0</v>
      </c>
      <c r="W94" s="227"/>
      <c r="X94" s="228"/>
      <c r="Y94" s="228"/>
      <c r="Z94" s="199">
        <f t="shared" si="14"/>
        <v>0</v>
      </c>
      <c r="AA94" s="227">
        <v>0</v>
      </c>
      <c r="AB94" s="227">
        <v>0</v>
      </c>
      <c r="AC94" s="199">
        <f t="shared" si="15"/>
        <v>0</v>
      </c>
      <c r="AD94" s="245"/>
      <c r="AE94" s="228"/>
      <c r="AF94" s="245">
        <v>0</v>
      </c>
      <c r="AG94" s="228">
        <v>0</v>
      </c>
      <c r="AH94" s="228"/>
      <c r="AI94" s="228"/>
      <c r="AJ94" s="228"/>
      <c r="AK94" s="199">
        <f t="shared" si="10"/>
        <v>0</v>
      </c>
      <c r="AL94" s="85">
        <f t="shared" si="16"/>
        <v>2425921.09</v>
      </c>
    </row>
    <row r="95" spans="1:38" s="31" customFormat="1" ht="15">
      <c r="A95" s="57" t="s">
        <v>331</v>
      </c>
      <c r="B95" s="31">
        <v>90</v>
      </c>
      <c r="C95" s="203" t="s">
        <v>332</v>
      </c>
      <c r="D95" s="226"/>
      <c r="E95" s="226"/>
      <c r="F95" s="226"/>
      <c r="G95" s="227"/>
      <c r="H95" s="230"/>
      <c r="I95" s="228"/>
      <c r="J95" s="229"/>
      <c r="K95" s="229"/>
      <c r="L95" s="199">
        <f t="shared" si="11"/>
        <v>0</v>
      </c>
      <c r="M95" s="230"/>
      <c r="N95" s="228"/>
      <c r="O95" s="229">
        <v>49859.39</v>
      </c>
      <c r="P95" s="199">
        <f t="shared" si="12"/>
        <v>49859.39</v>
      </c>
      <c r="Q95" s="228">
        <v>28371.11</v>
      </c>
      <c r="R95" s="229"/>
      <c r="S95" s="229">
        <v>0</v>
      </c>
      <c r="T95" s="228"/>
      <c r="U95" s="199">
        <f t="shared" si="13"/>
        <v>28371.11</v>
      </c>
      <c r="V95" s="229">
        <v>0</v>
      </c>
      <c r="W95" s="227"/>
      <c r="X95" s="228"/>
      <c r="Y95" s="228"/>
      <c r="Z95" s="199">
        <f t="shared" si="14"/>
        <v>0</v>
      </c>
      <c r="AA95" s="227">
        <v>0</v>
      </c>
      <c r="AB95" s="227">
        <v>0</v>
      </c>
      <c r="AC95" s="199">
        <f t="shared" si="15"/>
        <v>0</v>
      </c>
      <c r="AD95" s="245"/>
      <c r="AE95" s="228"/>
      <c r="AF95" s="245">
        <v>0</v>
      </c>
      <c r="AG95" s="228">
        <v>0</v>
      </c>
      <c r="AH95" s="228"/>
      <c r="AI95" s="228"/>
      <c r="AJ95" s="228"/>
      <c r="AK95" s="199">
        <f t="shared" si="10"/>
        <v>0</v>
      </c>
      <c r="AL95" s="85">
        <f t="shared" si="16"/>
        <v>78230.5</v>
      </c>
    </row>
    <row r="96" spans="1:38" s="31" customFormat="1" ht="15">
      <c r="A96" s="57">
        <v>69082</v>
      </c>
      <c r="B96" s="31">
        <v>91</v>
      </c>
      <c r="C96" s="203" t="s">
        <v>411</v>
      </c>
      <c r="D96" s="214"/>
      <c r="E96" s="214"/>
      <c r="F96" s="214"/>
      <c r="G96" s="215"/>
      <c r="H96" s="218"/>
      <c r="I96" s="216"/>
      <c r="J96" s="217"/>
      <c r="K96" s="217"/>
      <c r="L96" s="219"/>
      <c r="M96" s="218"/>
      <c r="N96" s="216"/>
      <c r="O96" s="217"/>
      <c r="P96" s="219"/>
      <c r="Q96" s="216"/>
      <c r="R96" s="217"/>
      <c r="S96" s="217"/>
      <c r="T96" s="216"/>
      <c r="U96" s="219"/>
      <c r="V96" s="217"/>
      <c r="W96" s="215"/>
      <c r="X96" s="216"/>
      <c r="Y96" s="216"/>
      <c r="Z96" s="199">
        <f t="shared" si="14"/>
        <v>0</v>
      </c>
      <c r="AA96" s="215"/>
      <c r="AB96" s="215"/>
      <c r="AC96" s="219"/>
      <c r="AD96" s="246">
        <v>45720.3</v>
      </c>
      <c r="AE96" s="216"/>
      <c r="AF96" s="246">
        <v>0</v>
      </c>
      <c r="AG96" s="216">
        <v>0</v>
      </c>
      <c r="AH96" s="216"/>
      <c r="AI96" s="216"/>
      <c r="AJ96" s="216"/>
      <c r="AK96" s="199"/>
      <c r="AL96" s="85">
        <f t="shared" si="16"/>
        <v>45720.3</v>
      </c>
    </row>
    <row r="97" spans="1:38" s="31" customFormat="1" ht="30">
      <c r="A97" s="57" t="s">
        <v>333</v>
      </c>
      <c r="B97" s="31">
        <v>92</v>
      </c>
      <c r="C97" s="203" t="s">
        <v>334</v>
      </c>
      <c r="D97" s="226"/>
      <c r="E97" s="226"/>
      <c r="F97" s="226"/>
      <c r="G97" s="227">
        <v>119204.03</v>
      </c>
      <c r="H97" s="230"/>
      <c r="I97" s="228"/>
      <c r="J97" s="229"/>
      <c r="K97" s="229"/>
      <c r="L97" s="199">
        <f t="shared" si="11"/>
        <v>119204.03</v>
      </c>
      <c r="M97" s="230">
        <v>138903.32</v>
      </c>
      <c r="N97" s="228"/>
      <c r="O97" s="229"/>
      <c r="P97" s="199">
        <f t="shared" si="12"/>
        <v>138903.32</v>
      </c>
      <c r="Q97" s="228">
        <v>264497.02</v>
      </c>
      <c r="R97" s="229">
        <v>98550.55</v>
      </c>
      <c r="S97" s="229">
        <v>50662.95</v>
      </c>
      <c r="T97" s="228"/>
      <c r="U97" s="199">
        <f t="shared" si="13"/>
        <v>413710.52</v>
      </c>
      <c r="V97" s="229">
        <v>53721.85</v>
      </c>
      <c r="W97" s="227"/>
      <c r="X97" s="228"/>
      <c r="Y97" s="228"/>
      <c r="Z97" s="199">
        <f t="shared" si="14"/>
        <v>53721.85</v>
      </c>
      <c r="AA97" s="227">
        <v>0</v>
      </c>
      <c r="AB97" s="227">
        <v>0</v>
      </c>
      <c r="AC97" s="199">
        <f t="shared" si="15"/>
        <v>0</v>
      </c>
      <c r="AD97" s="245"/>
      <c r="AE97" s="228"/>
      <c r="AF97" s="245">
        <v>0</v>
      </c>
      <c r="AG97" s="228">
        <v>0</v>
      </c>
      <c r="AH97" s="228"/>
      <c r="AI97" s="228"/>
      <c r="AJ97" s="228"/>
      <c r="AK97" s="199">
        <f aca="true" t="shared" si="17" ref="AK97:AK107">SUM(AE97:AJ97)</f>
        <v>0</v>
      </c>
      <c r="AL97" s="85">
        <f t="shared" si="16"/>
        <v>725539.72</v>
      </c>
    </row>
    <row r="98" spans="1:38" s="31" customFormat="1" ht="15">
      <c r="A98" s="57" t="s">
        <v>335</v>
      </c>
      <c r="B98" s="31">
        <v>93</v>
      </c>
      <c r="C98" s="203" t="s">
        <v>336</v>
      </c>
      <c r="D98" s="226"/>
      <c r="E98" s="226"/>
      <c r="F98" s="226"/>
      <c r="G98" s="227"/>
      <c r="H98" s="230"/>
      <c r="I98" s="228"/>
      <c r="J98" s="229"/>
      <c r="K98" s="229"/>
      <c r="L98" s="199">
        <f t="shared" si="11"/>
        <v>0</v>
      </c>
      <c r="M98" s="230"/>
      <c r="N98" s="228"/>
      <c r="O98" s="229"/>
      <c r="P98" s="199">
        <f t="shared" si="12"/>
        <v>0</v>
      </c>
      <c r="Q98" s="228"/>
      <c r="R98" s="229"/>
      <c r="S98" s="229">
        <v>0</v>
      </c>
      <c r="T98" s="228"/>
      <c r="U98" s="199">
        <f t="shared" si="13"/>
        <v>0</v>
      </c>
      <c r="V98" s="229">
        <v>0</v>
      </c>
      <c r="W98" s="227"/>
      <c r="X98" s="228"/>
      <c r="Y98" s="228"/>
      <c r="Z98" s="199">
        <f t="shared" si="14"/>
        <v>0</v>
      </c>
      <c r="AA98" s="227">
        <v>0</v>
      </c>
      <c r="AB98" s="227">
        <v>0</v>
      </c>
      <c r="AC98" s="199">
        <f t="shared" si="15"/>
        <v>0</v>
      </c>
      <c r="AD98" s="245"/>
      <c r="AE98" s="228"/>
      <c r="AF98" s="245">
        <v>0</v>
      </c>
      <c r="AG98" s="228">
        <v>0</v>
      </c>
      <c r="AH98" s="228"/>
      <c r="AI98" s="228"/>
      <c r="AJ98" s="228"/>
      <c r="AK98" s="199">
        <f t="shared" si="17"/>
        <v>0</v>
      </c>
      <c r="AL98" s="85">
        <f t="shared" si="16"/>
        <v>0</v>
      </c>
    </row>
    <row r="99" spans="1:38" s="31" customFormat="1" ht="15">
      <c r="A99" s="57" t="s">
        <v>337</v>
      </c>
      <c r="B99" s="31">
        <v>94</v>
      </c>
      <c r="C99" s="203" t="s">
        <v>338</v>
      </c>
      <c r="D99" s="226"/>
      <c r="E99" s="226"/>
      <c r="F99" s="226"/>
      <c r="G99" s="227"/>
      <c r="H99" s="230"/>
      <c r="I99" s="228"/>
      <c r="J99" s="229">
        <v>74934.14</v>
      </c>
      <c r="K99" s="229"/>
      <c r="L99" s="199">
        <f t="shared" si="11"/>
        <v>74934.14</v>
      </c>
      <c r="M99" s="230"/>
      <c r="N99" s="228"/>
      <c r="O99" s="229"/>
      <c r="P99" s="199">
        <f t="shared" si="12"/>
        <v>0</v>
      </c>
      <c r="Q99" s="228"/>
      <c r="R99" s="229"/>
      <c r="S99" s="229">
        <v>16793.88</v>
      </c>
      <c r="T99" s="228"/>
      <c r="U99" s="199">
        <f t="shared" si="13"/>
        <v>16793.88</v>
      </c>
      <c r="V99" s="229">
        <v>17807.84</v>
      </c>
      <c r="W99" s="227"/>
      <c r="X99" s="228"/>
      <c r="Y99" s="228"/>
      <c r="Z99" s="199">
        <f t="shared" si="14"/>
        <v>17807.84</v>
      </c>
      <c r="AA99" s="227">
        <v>0</v>
      </c>
      <c r="AB99" s="227">
        <v>0</v>
      </c>
      <c r="AC99" s="199">
        <f t="shared" si="15"/>
        <v>0</v>
      </c>
      <c r="AD99" s="245"/>
      <c r="AE99" s="228"/>
      <c r="AF99" s="245">
        <v>0</v>
      </c>
      <c r="AG99" s="228">
        <v>0</v>
      </c>
      <c r="AH99" s="228"/>
      <c r="AI99" s="228"/>
      <c r="AJ99" s="228"/>
      <c r="AK99" s="199">
        <f t="shared" si="17"/>
        <v>0</v>
      </c>
      <c r="AL99" s="85">
        <f t="shared" si="16"/>
        <v>109535.86</v>
      </c>
    </row>
    <row r="100" spans="1:38" s="31" customFormat="1" ht="15">
      <c r="A100" s="57" t="s">
        <v>339</v>
      </c>
      <c r="B100" s="31">
        <v>95</v>
      </c>
      <c r="C100" s="203" t="s">
        <v>340</v>
      </c>
      <c r="D100" s="226"/>
      <c r="E100" s="226"/>
      <c r="F100" s="226"/>
      <c r="G100" s="227"/>
      <c r="H100" s="230"/>
      <c r="I100" s="228"/>
      <c r="J100" s="229"/>
      <c r="K100" s="229"/>
      <c r="L100" s="199">
        <f t="shared" si="11"/>
        <v>0</v>
      </c>
      <c r="M100" s="230"/>
      <c r="N100" s="228"/>
      <c r="O100" s="229"/>
      <c r="P100" s="199">
        <f t="shared" si="12"/>
        <v>0</v>
      </c>
      <c r="Q100" s="228">
        <v>141974.24</v>
      </c>
      <c r="R100" s="229">
        <v>52899.05</v>
      </c>
      <c r="S100" s="229">
        <v>10059.79</v>
      </c>
      <c r="T100" s="228">
        <v>7588.04</v>
      </c>
      <c r="U100" s="199">
        <f t="shared" si="13"/>
        <v>212521.12</v>
      </c>
      <c r="V100" s="229">
        <v>10667.17</v>
      </c>
      <c r="W100" s="227">
        <v>19327.49</v>
      </c>
      <c r="X100" s="228">
        <v>19328.18</v>
      </c>
      <c r="Y100" s="228"/>
      <c r="Z100" s="199">
        <f t="shared" si="14"/>
        <v>49322.840000000004</v>
      </c>
      <c r="AA100" s="227">
        <v>45217.82</v>
      </c>
      <c r="AB100" s="227">
        <v>45217.82</v>
      </c>
      <c r="AC100" s="199">
        <f t="shared" si="15"/>
        <v>90435.64</v>
      </c>
      <c r="AD100" s="245">
        <v>49425.59</v>
      </c>
      <c r="AE100" s="228"/>
      <c r="AF100" s="245">
        <v>0</v>
      </c>
      <c r="AG100" s="228">
        <v>0</v>
      </c>
      <c r="AH100" s="228"/>
      <c r="AI100" s="228"/>
      <c r="AJ100" s="228"/>
      <c r="AK100" s="199">
        <f t="shared" si="17"/>
        <v>0</v>
      </c>
      <c r="AL100" s="85">
        <f t="shared" si="16"/>
        <v>401705.18999999994</v>
      </c>
    </row>
    <row r="101" spans="1:38" s="31" customFormat="1" ht="15">
      <c r="A101" s="57" t="s">
        <v>341</v>
      </c>
      <c r="B101" s="31">
        <v>96</v>
      </c>
      <c r="C101" s="203" t="s">
        <v>342</v>
      </c>
      <c r="D101" s="226"/>
      <c r="E101" s="226"/>
      <c r="F101" s="226"/>
      <c r="G101" s="227"/>
      <c r="H101" s="230"/>
      <c r="I101" s="228"/>
      <c r="J101" s="229"/>
      <c r="K101" s="229"/>
      <c r="L101" s="199">
        <f t="shared" si="11"/>
        <v>0</v>
      </c>
      <c r="M101" s="230"/>
      <c r="N101" s="228"/>
      <c r="O101" s="229"/>
      <c r="P101" s="199">
        <f t="shared" si="12"/>
        <v>0</v>
      </c>
      <c r="Q101" s="228">
        <v>89350.45</v>
      </c>
      <c r="R101" s="229">
        <v>33291.62</v>
      </c>
      <c r="S101" s="229">
        <v>41341.73</v>
      </c>
      <c r="T101" s="228"/>
      <c r="U101" s="199">
        <f t="shared" si="13"/>
        <v>163983.80000000002</v>
      </c>
      <c r="V101" s="229">
        <v>43837.83</v>
      </c>
      <c r="W101" s="227"/>
      <c r="X101" s="228"/>
      <c r="Y101" s="228">
        <v>8918.18</v>
      </c>
      <c r="Z101" s="199">
        <f t="shared" si="14"/>
        <v>52756.01</v>
      </c>
      <c r="AA101" s="227">
        <v>0</v>
      </c>
      <c r="AB101" s="227">
        <v>0</v>
      </c>
      <c r="AC101" s="199">
        <f t="shared" si="15"/>
        <v>0</v>
      </c>
      <c r="AD101" s="247">
        <v>59666.31</v>
      </c>
      <c r="AE101" s="228"/>
      <c r="AF101" s="245">
        <v>134546.59</v>
      </c>
      <c r="AG101" s="228">
        <v>0</v>
      </c>
      <c r="AH101" s="228"/>
      <c r="AI101" s="228"/>
      <c r="AJ101" s="228"/>
      <c r="AK101" s="199">
        <f t="shared" si="17"/>
        <v>134546.59</v>
      </c>
      <c r="AL101" s="85">
        <f t="shared" si="16"/>
        <v>410952.71</v>
      </c>
    </row>
    <row r="102" spans="1:38" s="31" customFormat="1" ht="15">
      <c r="A102" s="57" t="s">
        <v>343</v>
      </c>
      <c r="B102" s="31">
        <v>97</v>
      </c>
      <c r="C102" s="203" t="s">
        <v>344</v>
      </c>
      <c r="D102" s="226"/>
      <c r="E102" s="226"/>
      <c r="F102" s="226"/>
      <c r="G102" s="227"/>
      <c r="H102" s="230"/>
      <c r="I102" s="228"/>
      <c r="J102" s="229"/>
      <c r="K102" s="229"/>
      <c r="L102" s="199">
        <f t="shared" si="11"/>
        <v>0</v>
      </c>
      <c r="M102" s="230"/>
      <c r="N102" s="228"/>
      <c r="O102" s="229"/>
      <c r="P102" s="199">
        <f t="shared" si="12"/>
        <v>0</v>
      </c>
      <c r="Q102" s="228"/>
      <c r="R102" s="229">
        <v>101927.09</v>
      </c>
      <c r="S102" s="229">
        <v>16165.35</v>
      </c>
      <c r="T102" s="228"/>
      <c r="U102" s="199">
        <f t="shared" si="13"/>
        <v>118092.44</v>
      </c>
      <c r="V102" s="229">
        <v>0</v>
      </c>
      <c r="W102" s="227"/>
      <c r="X102" s="228"/>
      <c r="Y102" s="228"/>
      <c r="Z102" s="199">
        <f t="shared" si="14"/>
        <v>0</v>
      </c>
      <c r="AA102" s="227">
        <v>0</v>
      </c>
      <c r="AB102" s="227">
        <v>0</v>
      </c>
      <c r="AC102" s="199">
        <f t="shared" si="15"/>
        <v>0</v>
      </c>
      <c r="AD102" s="245">
        <v>33438.08</v>
      </c>
      <c r="AE102" s="228"/>
      <c r="AF102" s="245">
        <v>0</v>
      </c>
      <c r="AG102" s="228">
        <v>0</v>
      </c>
      <c r="AH102" s="228"/>
      <c r="AI102" s="228"/>
      <c r="AJ102" s="228"/>
      <c r="AK102" s="199">
        <f t="shared" si="17"/>
        <v>0</v>
      </c>
      <c r="AL102" s="85">
        <f t="shared" si="16"/>
        <v>151530.52000000002</v>
      </c>
    </row>
    <row r="103" spans="1:38" s="31" customFormat="1" ht="15">
      <c r="A103" s="57" t="s">
        <v>345</v>
      </c>
      <c r="B103" s="31">
        <v>98</v>
      </c>
      <c r="C103" s="203" t="s">
        <v>346</v>
      </c>
      <c r="D103" s="226"/>
      <c r="E103" s="226"/>
      <c r="F103" s="226"/>
      <c r="G103" s="227"/>
      <c r="H103" s="230"/>
      <c r="I103" s="228"/>
      <c r="J103" s="229"/>
      <c r="K103" s="229"/>
      <c r="L103" s="199">
        <f t="shared" si="11"/>
        <v>0</v>
      </c>
      <c r="M103" s="230"/>
      <c r="N103" s="228"/>
      <c r="O103" s="229"/>
      <c r="P103" s="199">
        <f t="shared" si="12"/>
        <v>0</v>
      </c>
      <c r="Q103" s="228"/>
      <c r="R103" s="229"/>
      <c r="S103" s="229">
        <v>0</v>
      </c>
      <c r="T103" s="228"/>
      <c r="U103" s="199">
        <f t="shared" si="13"/>
        <v>0</v>
      </c>
      <c r="V103" s="229">
        <v>0</v>
      </c>
      <c r="W103" s="227"/>
      <c r="X103" s="228"/>
      <c r="Y103" s="228"/>
      <c r="Z103" s="199">
        <f t="shared" si="14"/>
        <v>0</v>
      </c>
      <c r="AA103" s="227">
        <v>0</v>
      </c>
      <c r="AB103" s="227">
        <v>0</v>
      </c>
      <c r="AC103" s="199">
        <f t="shared" si="15"/>
        <v>0</v>
      </c>
      <c r="AD103" s="245"/>
      <c r="AE103" s="228"/>
      <c r="AF103" s="245">
        <v>0</v>
      </c>
      <c r="AG103" s="228">
        <v>0</v>
      </c>
      <c r="AH103" s="228"/>
      <c r="AI103" s="228"/>
      <c r="AJ103" s="228"/>
      <c r="AK103" s="199">
        <f t="shared" si="17"/>
        <v>0</v>
      </c>
      <c r="AL103" s="85">
        <f t="shared" si="16"/>
        <v>0</v>
      </c>
    </row>
    <row r="104" spans="1:38" s="31" customFormat="1" ht="15">
      <c r="A104" s="57" t="s">
        <v>347</v>
      </c>
      <c r="B104" s="31">
        <v>99</v>
      </c>
      <c r="C104" s="203" t="s">
        <v>348</v>
      </c>
      <c r="D104" s="226">
        <v>150000</v>
      </c>
      <c r="E104" s="226"/>
      <c r="F104" s="226"/>
      <c r="G104" s="227"/>
      <c r="H104" s="230"/>
      <c r="I104" s="228"/>
      <c r="J104" s="229"/>
      <c r="K104" s="229"/>
      <c r="L104" s="199">
        <f t="shared" si="11"/>
        <v>150000</v>
      </c>
      <c r="M104" s="230">
        <v>40288.35</v>
      </c>
      <c r="N104" s="228"/>
      <c r="O104" s="229"/>
      <c r="P104" s="199">
        <f t="shared" si="12"/>
        <v>40288.35</v>
      </c>
      <c r="Q104" s="228">
        <v>148609.11</v>
      </c>
      <c r="R104" s="229">
        <v>55371.17</v>
      </c>
      <c r="S104" s="229">
        <v>31928.59</v>
      </c>
      <c r="T104" s="228"/>
      <c r="U104" s="199">
        <f t="shared" si="13"/>
        <v>235908.86999999997</v>
      </c>
      <c r="V104" s="229">
        <v>33856.36</v>
      </c>
      <c r="W104" s="227"/>
      <c r="X104" s="228"/>
      <c r="Y104" s="228"/>
      <c r="Z104" s="199">
        <f t="shared" si="14"/>
        <v>33856.36</v>
      </c>
      <c r="AA104" s="227">
        <v>0</v>
      </c>
      <c r="AB104" s="227">
        <v>0</v>
      </c>
      <c r="AC104" s="199">
        <f t="shared" si="15"/>
        <v>0</v>
      </c>
      <c r="AD104" s="245"/>
      <c r="AE104" s="228"/>
      <c r="AF104" s="245">
        <v>0</v>
      </c>
      <c r="AG104" s="228">
        <v>0</v>
      </c>
      <c r="AH104" s="228"/>
      <c r="AI104" s="228"/>
      <c r="AJ104" s="228"/>
      <c r="AK104" s="199">
        <f t="shared" si="17"/>
        <v>0</v>
      </c>
      <c r="AL104" s="85">
        <f t="shared" si="16"/>
        <v>460053.57999999996</v>
      </c>
    </row>
    <row r="105" spans="1:38" s="31" customFormat="1" ht="15">
      <c r="A105" s="57" t="s">
        <v>349</v>
      </c>
      <c r="B105" s="31">
        <v>100</v>
      </c>
      <c r="C105" s="203" t="s">
        <v>350</v>
      </c>
      <c r="D105" s="226">
        <v>150000</v>
      </c>
      <c r="E105" s="226"/>
      <c r="F105" s="226">
        <v>668724.31</v>
      </c>
      <c r="G105" s="227">
        <v>786948.02</v>
      </c>
      <c r="H105" s="230"/>
      <c r="I105" s="228"/>
      <c r="J105" s="229"/>
      <c r="K105" s="229"/>
      <c r="L105" s="199">
        <f t="shared" si="11"/>
        <v>1605672.33</v>
      </c>
      <c r="M105" s="230">
        <v>307583.7</v>
      </c>
      <c r="N105" s="228"/>
      <c r="O105" s="229"/>
      <c r="P105" s="199">
        <f t="shared" si="12"/>
        <v>307583.7</v>
      </c>
      <c r="Q105" s="228">
        <v>1700204.72</v>
      </c>
      <c r="R105" s="229">
        <v>633489.61</v>
      </c>
      <c r="S105" s="229">
        <v>525667.65</v>
      </c>
      <c r="T105" s="228">
        <v>396508.22</v>
      </c>
      <c r="U105" s="199">
        <f t="shared" si="13"/>
        <v>3255870.2</v>
      </c>
      <c r="V105" s="229">
        <v>557406.07</v>
      </c>
      <c r="W105" s="227">
        <v>1009945.36</v>
      </c>
      <c r="X105" s="228">
        <v>1009981.3</v>
      </c>
      <c r="Y105" s="228"/>
      <c r="Z105" s="199">
        <f t="shared" si="14"/>
        <v>2577332.73</v>
      </c>
      <c r="AA105" s="227">
        <v>2362827.88</v>
      </c>
      <c r="AB105" s="227">
        <v>2362827.88</v>
      </c>
      <c r="AC105" s="199">
        <f t="shared" si="15"/>
        <v>4725655.76</v>
      </c>
      <c r="AD105" s="245">
        <v>2341482.37</v>
      </c>
      <c r="AE105" s="228"/>
      <c r="AF105" s="245">
        <v>2261812.44</v>
      </c>
      <c r="AG105" s="228">
        <v>0</v>
      </c>
      <c r="AH105" s="228"/>
      <c r="AI105" s="228"/>
      <c r="AJ105" s="228"/>
      <c r="AK105" s="199">
        <f t="shared" si="17"/>
        <v>2261812.44</v>
      </c>
      <c r="AL105" s="85">
        <f t="shared" si="16"/>
        <v>17075409.53</v>
      </c>
    </row>
    <row r="106" spans="1:38" s="31" customFormat="1" ht="15">
      <c r="A106" s="57" t="s">
        <v>351</v>
      </c>
      <c r="B106" s="31">
        <v>101</v>
      </c>
      <c r="C106" s="203" t="s">
        <v>352</v>
      </c>
      <c r="D106" s="226">
        <v>150000</v>
      </c>
      <c r="E106" s="226"/>
      <c r="F106" s="226"/>
      <c r="G106" s="227"/>
      <c r="H106" s="230"/>
      <c r="I106" s="228"/>
      <c r="J106" s="229"/>
      <c r="K106" s="229"/>
      <c r="L106" s="199">
        <f t="shared" si="11"/>
        <v>150000</v>
      </c>
      <c r="M106" s="230">
        <v>1318607.01</v>
      </c>
      <c r="N106" s="228"/>
      <c r="O106" s="229"/>
      <c r="P106" s="199">
        <f t="shared" si="12"/>
        <v>1318607.01</v>
      </c>
      <c r="Q106" s="228">
        <v>2657343.11</v>
      </c>
      <c r="R106" s="229"/>
      <c r="S106" s="229">
        <v>48537.39</v>
      </c>
      <c r="T106" s="228">
        <v>69100.18</v>
      </c>
      <c r="U106" s="199">
        <f t="shared" si="13"/>
        <v>2774980.68</v>
      </c>
      <c r="V106" s="229">
        <v>51467.95</v>
      </c>
      <c r="W106" s="227">
        <v>176004.95</v>
      </c>
      <c r="X106" s="228">
        <v>176011.21</v>
      </c>
      <c r="Y106" s="228"/>
      <c r="Z106" s="199">
        <f t="shared" si="14"/>
        <v>403484.11</v>
      </c>
      <c r="AA106" s="227">
        <v>411774.16</v>
      </c>
      <c r="AB106" s="227">
        <v>411774.16</v>
      </c>
      <c r="AC106" s="199">
        <f t="shared" si="15"/>
        <v>823548.32</v>
      </c>
      <c r="AD106" s="245">
        <v>1658294.25</v>
      </c>
      <c r="AE106" s="228"/>
      <c r="AF106" s="245">
        <v>2324391.67</v>
      </c>
      <c r="AG106" s="228">
        <v>0</v>
      </c>
      <c r="AH106" s="228"/>
      <c r="AI106" s="228"/>
      <c r="AJ106" s="228"/>
      <c r="AK106" s="199">
        <f t="shared" si="17"/>
        <v>2324391.67</v>
      </c>
      <c r="AL106" s="85">
        <f t="shared" si="16"/>
        <v>9453306.040000001</v>
      </c>
    </row>
    <row r="107" spans="1:38" s="31" customFormat="1" ht="15">
      <c r="A107" s="57" t="s">
        <v>353</v>
      </c>
      <c r="B107" s="31">
        <v>102</v>
      </c>
      <c r="C107" s="203" t="s">
        <v>354</v>
      </c>
      <c r="D107" s="226">
        <v>28284</v>
      </c>
      <c r="E107" s="226"/>
      <c r="F107" s="226"/>
      <c r="G107" s="227"/>
      <c r="H107" s="230"/>
      <c r="I107" s="228"/>
      <c r="J107" s="229"/>
      <c r="K107" s="229"/>
      <c r="L107" s="199">
        <f t="shared" si="11"/>
        <v>28284</v>
      </c>
      <c r="M107" s="230">
        <v>252801.39</v>
      </c>
      <c r="N107" s="228"/>
      <c r="O107" s="229"/>
      <c r="P107" s="199">
        <f t="shared" si="12"/>
        <v>252801.39</v>
      </c>
      <c r="Q107" s="228">
        <v>117678.44</v>
      </c>
      <c r="R107" s="229">
        <v>43846.53</v>
      </c>
      <c r="S107" s="229">
        <v>193296.42</v>
      </c>
      <c r="T107" s="228">
        <v>61040.49</v>
      </c>
      <c r="U107" s="199">
        <f t="shared" si="13"/>
        <v>415861.88</v>
      </c>
      <c r="V107" s="229">
        <v>204967.15</v>
      </c>
      <c r="W107" s="227">
        <v>155476.11</v>
      </c>
      <c r="X107" s="228">
        <v>155481.65</v>
      </c>
      <c r="Y107" s="228"/>
      <c r="Z107" s="199">
        <f t="shared" si="14"/>
        <v>515924.91000000003</v>
      </c>
      <c r="AA107" s="227">
        <v>363745.71</v>
      </c>
      <c r="AB107" s="227">
        <v>363745.71</v>
      </c>
      <c r="AC107" s="199">
        <f t="shared" si="15"/>
        <v>727491.42</v>
      </c>
      <c r="AD107" s="245">
        <v>1307155.53</v>
      </c>
      <c r="AE107" s="228"/>
      <c r="AF107" s="245">
        <v>2048143.72</v>
      </c>
      <c r="AG107" s="228">
        <v>0</v>
      </c>
      <c r="AH107" s="228"/>
      <c r="AI107" s="228"/>
      <c r="AJ107" s="228"/>
      <c r="AK107" s="199">
        <f t="shared" si="17"/>
        <v>2048143.72</v>
      </c>
      <c r="AL107" s="85">
        <f t="shared" si="16"/>
        <v>5295662.85</v>
      </c>
    </row>
    <row r="108" spans="1:38" s="31" customFormat="1" ht="15">
      <c r="A108" s="57"/>
      <c r="B108" s="31">
        <v>103</v>
      </c>
      <c r="C108" s="203" t="s">
        <v>434</v>
      </c>
      <c r="D108" s="226"/>
      <c r="E108" s="226"/>
      <c r="F108" s="226"/>
      <c r="G108" s="227"/>
      <c r="H108" s="230"/>
      <c r="I108" s="228"/>
      <c r="J108" s="229"/>
      <c r="K108" s="229"/>
      <c r="L108" s="199"/>
      <c r="M108" s="230"/>
      <c r="N108" s="228"/>
      <c r="O108" s="229"/>
      <c r="P108" s="199"/>
      <c r="Q108" s="228"/>
      <c r="R108" s="229"/>
      <c r="S108" s="229"/>
      <c r="T108" s="228"/>
      <c r="U108" s="199"/>
      <c r="V108" s="229"/>
      <c r="W108" s="227"/>
      <c r="X108" s="228"/>
      <c r="Y108" s="228"/>
      <c r="Z108" s="199">
        <f t="shared" si="14"/>
        <v>0</v>
      </c>
      <c r="AA108" s="227"/>
      <c r="AB108" s="227"/>
      <c r="AC108" s="199"/>
      <c r="AD108" s="245">
        <v>53974.02</v>
      </c>
      <c r="AE108" s="228"/>
      <c r="AF108" s="245">
        <v>0</v>
      </c>
      <c r="AG108" s="228">
        <v>0</v>
      </c>
      <c r="AH108" s="228"/>
      <c r="AI108" s="228"/>
      <c r="AJ108" s="228"/>
      <c r="AK108" s="199"/>
      <c r="AL108" s="85">
        <f t="shared" si="16"/>
        <v>53974.02</v>
      </c>
    </row>
    <row r="109" spans="1:38" s="31" customFormat="1" ht="15">
      <c r="A109" s="57" t="s">
        <v>355</v>
      </c>
      <c r="B109" s="31">
        <v>104</v>
      </c>
      <c r="C109" s="203" t="s">
        <v>356</v>
      </c>
      <c r="D109" s="226"/>
      <c r="E109" s="226"/>
      <c r="F109" s="226"/>
      <c r="G109" s="227"/>
      <c r="H109" s="230"/>
      <c r="I109" s="228"/>
      <c r="J109" s="229"/>
      <c r="K109" s="229"/>
      <c r="L109" s="199">
        <f t="shared" si="11"/>
        <v>0</v>
      </c>
      <c r="M109" s="230"/>
      <c r="N109" s="228"/>
      <c r="O109" s="229"/>
      <c r="P109" s="199">
        <f t="shared" si="12"/>
        <v>0</v>
      </c>
      <c r="Q109" s="228"/>
      <c r="R109" s="229"/>
      <c r="S109" s="229">
        <v>0</v>
      </c>
      <c r="T109" s="228"/>
      <c r="U109" s="199">
        <f t="shared" si="13"/>
        <v>0</v>
      </c>
      <c r="V109" s="229">
        <v>0</v>
      </c>
      <c r="W109" s="227"/>
      <c r="X109" s="228"/>
      <c r="Y109" s="228"/>
      <c r="Z109" s="199">
        <f t="shared" si="14"/>
        <v>0</v>
      </c>
      <c r="AA109" s="227">
        <v>0</v>
      </c>
      <c r="AB109" s="227">
        <v>0</v>
      </c>
      <c r="AC109" s="199">
        <f t="shared" si="15"/>
        <v>0</v>
      </c>
      <c r="AD109" s="245"/>
      <c r="AE109" s="228"/>
      <c r="AF109" s="245">
        <v>56892.58</v>
      </c>
      <c r="AG109" s="228">
        <v>0</v>
      </c>
      <c r="AH109" s="228"/>
      <c r="AI109" s="228"/>
      <c r="AJ109" s="228"/>
      <c r="AK109" s="199">
        <f aca="true" t="shared" si="18" ref="AK109:AK119">SUM(AE109:AJ109)</f>
        <v>56892.58</v>
      </c>
      <c r="AL109" s="85">
        <f t="shared" si="16"/>
        <v>56892.58</v>
      </c>
    </row>
    <row r="110" spans="1:38" s="31" customFormat="1" ht="15">
      <c r="A110" s="57" t="s">
        <v>357</v>
      </c>
      <c r="B110" s="31">
        <v>105</v>
      </c>
      <c r="C110" s="203" t="s">
        <v>358</v>
      </c>
      <c r="D110" s="226">
        <v>150000</v>
      </c>
      <c r="E110" s="226"/>
      <c r="F110" s="226"/>
      <c r="G110" s="227">
        <v>320327.78</v>
      </c>
      <c r="H110" s="230"/>
      <c r="I110" s="228"/>
      <c r="J110" s="229"/>
      <c r="K110" s="229"/>
      <c r="L110" s="199">
        <f t="shared" si="11"/>
        <v>470327.78</v>
      </c>
      <c r="M110" s="230">
        <v>155323.19</v>
      </c>
      <c r="N110" s="228"/>
      <c r="O110" s="229"/>
      <c r="P110" s="199">
        <f t="shared" si="12"/>
        <v>155323.19</v>
      </c>
      <c r="Q110" s="228">
        <v>115742.63</v>
      </c>
      <c r="R110" s="229">
        <v>43125.25</v>
      </c>
      <c r="S110" s="229">
        <v>74197.52</v>
      </c>
      <c r="T110" s="228">
        <v>4821.51</v>
      </c>
      <c r="U110" s="199">
        <f t="shared" si="13"/>
        <v>237886.91000000003</v>
      </c>
      <c r="V110" s="229">
        <v>78677.37</v>
      </c>
      <c r="W110" s="227">
        <v>12280.86</v>
      </c>
      <c r="X110" s="228">
        <v>12281.29</v>
      </c>
      <c r="Y110" s="228"/>
      <c r="Z110" s="199">
        <f t="shared" si="14"/>
        <v>103239.51999999999</v>
      </c>
      <c r="AA110" s="227">
        <v>28731.8</v>
      </c>
      <c r="AB110" s="227">
        <v>28731.8</v>
      </c>
      <c r="AC110" s="199">
        <f t="shared" si="15"/>
        <v>57463.6</v>
      </c>
      <c r="AD110" s="245">
        <v>720088.54</v>
      </c>
      <c r="AE110" s="228"/>
      <c r="AF110" s="245">
        <v>990758.94</v>
      </c>
      <c r="AG110" s="228">
        <v>0</v>
      </c>
      <c r="AH110" s="228"/>
      <c r="AI110" s="228"/>
      <c r="AJ110" s="228"/>
      <c r="AK110" s="199">
        <f t="shared" si="18"/>
        <v>990758.94</v>
      </c>
      <c r="AL110" s="85">
        <f t="shared" si="16"/>
        <v>2735088.4800000004</v>
      </c>
    </row>
    <row r="111" spans="1:38" s="31" customFormat="1" ht="15">
      <c r="A111" s="57"/>
      <c r="C111" s="203" t="s">
        <v>439</v>
      </c>
      <c r="D111" s="226"/>
      <c r="E111" s="226"/>
      <c r="F111" s="226"/>
      <c r="G111" s="227"/>
      <c r="H111" s="230"/>
      <c r="I111" s="228"/>
      <c r="J111" s="229"/>
      <c r="K111" s="229"/>
      <c r="L111" s="199"/>
      <c r="M111" s="230"/>
      <c r="N111" s="228"/>
      <c r="O111" s="229"/>
      <c r="P111" s="199"/>
      <c r="Q111" s="228"/>
      <c r="R111" s="229"/>
      <c r="S111" s="229"/>
      <c r="T111" s="228"/>
      <c r="U111" s="199"/>
      <c r="V111" s="229"/>
      <c r="W111" s="227"/>
      <c r="X111" s="228"/>
      <c r="Y111" s="228"/>
      <c r="Z111" s="199"/>
      <c r="AA111" s="227"/>
      <c r="AB111" s="227"/>
      <c r="AC111" s="199"/>
      <c r="AD111" s="245"/>
      <c r="AE111" s="228"/>
      <c r="AF111" s="245">
        <v>0</v>
      </c>
      <c r="AG111" s="228">
        <v>10000</v>
      </c>
      <c r="AH111" s="228"/>
      <c r="AI111" s="228"/>
      <c r="AJ111" s="228"/>
      <c r="AK111" s="199"/>
      <c r="AL111" s="85"/>
    </row>
    <row r="112" spans="1:38" s="31" customFormat="1" ht="15">
      <c r="A112" s="57" t="s">
        <v>359</v>
      </c>
      <c r="B112" s="31">
        <v>106</v>
      </c>
      <c r="C112" s="203" t="s">
        <v>360</v>
      </c>
      <c r="D112" s="226"/>
      <c r="E112" s="226"/>
      <c r="F112" s="226"/>
      <c r="G112" s="227"/>
      <c r="H112" s="230"/>
      <c r="I112" s="228"/>
      <c r="J112" s="229"/>
      <c r="K112" s="229"/>
      <c r="L112" s="199">
        <f t="shared" si="11"/>
        <v>0</v>
      </c>
      <c r="M112" s="230"/>
      <c r="N112" s="228"/>
      <c r="O112" s="229"/>
      <c r="P112" s="199">
        <f t="shared" si="12"/>
        <v>0</v>
      </c>
      <c r="Q112" s="228">
        <v>77073.35</v>
      </c>
      <c r="R112" s="229">
        <v>28717.23</v>
      </c>
      <c r="S112" s="229">
        <v>0</v>
      </c>
      <c r="T112" s="228"/>
      <c r="U112" s="199">
        <f>SUM(Q112:T112)</f>
        <v>105790.58</v>
      </c>
      <c r="V112" s="229">
        <v>0</v>
      </c>
      <c r="W112" s="227"/>
      <c r="X112" s="228"/>
      <c r="Y112" s="228"/>
      <c r="Z112" s="199">
        <f t="shared" si="14"/>
        <v>0</v>
      </c>
      <c r="AA112" s="227">
        <v>0</v>
      </c>
      <c r="AB112" s="227">
        <v>0</v>
      </c>
      <c r="AC112" s="199">
        <f t="shared" si="15"/>
        <v>0</v>
      </c>
      <c r="AD112" s="245">
        <v>106731.51</v>
      </c>
      <c r="AE112" s="228"/>
      <c r="AF112" s="245">
        <v>0</v>
      </c>
      <c r="AG112" s="228">
        <v>0</v>
      </c>
      <c r="AH112" s="228"/>
      <c r="AI112" s="228"/>
      <c r="AJ112" s="228"/>
      <c r="AK112" s="199">
        <f t="shared" si="18"/>
        <v>0</v>
      </c>
      <c r="AL112" s="85">
        <f t="shared" si="16"/>
        <v>212522.09</v>
      </c>
    </row>
    <row r="113" spans="1:38" s="31" customFormat="1" ht="15">
      <c r="A113" s="57" t="s">
        <v>361</v>
      </c>
      <c r="B113" s="31">
        <v>107</v>
      </c>
      <c r="C113" s="203" t="s">
        <v>362</v>
      </c>
      <c r="D113" s="226"/>
      <c r="E113" s="226"/>
      <c r="F113" s="226"/>
      <c r="G113" s="227"/>
      <c r="H113" s="230"/>
      <c r="I113" s="228"/>
      <c r="J113" s="229"/>
      <c r="K113" s="229"/>
      <c r="L113" s="199">
        <f t="shared" si="11"/>
        <v>0</v>
      </c>
      <c r="M113" s="230"/>
      <c r="N113" s="228"/>
      <c r="O113" s="229"/>
      <c r="P113" s="199">
        <f t="shared" si="12"/>
        <v>0</v>
      </c>
      <c r="Q113" s="228">
        <v>88535.07</v>
      </c>
      <c r="R113" s="229">
        <v>32987.82</v>
      </c>
      <c r="S113" s="229">
        <v>41987.68</v>
      </c>
      <c r="T113" s="228"/>
      <c r="U113" s="199">
        <f t="shared" si="13"/>
        <v>163510.57</v>
      </c>
      <c r="V113" s="229">
        <v>44522.79</v>
      </c>
      <c r="W113" s="227"/>
      <c r="X113" s="228"/>
      <c r="Y113" s="228"/>
      <c r="Z113" s="199">
        <f t="shared" si="14"/>
        <v>44522.79</v>
      </c>
      <c r="AA113" s="227">
        <v>0</v>
      </c>
      <c r="AB113" s="227">
        <v>0</v>
      </c>
      <c r="AC113" s="199">
        <f t="shared" si="15"/>
        <v>0</v>
      </c>
      <c r="AD113" s="245">
        <v>102114.09</v>
      </c>
      <c r="AE113" s="228"/>
      <c r="AF113" s="245">
        <v>89384.57</v>
      </c>
      <c r="AG113" s="228">
        <v>0</v>
      </c>
      <c r="AH113" s="228"/>
      <c r="AI113" s="228"/>
      <c r="AJ113" s="228"/>
      <c r="AK113" s="199">
        <f t="shared" si="18"/>
        <v>89384.57</v>
      </c>
      <c r="AL113" s="85">
        <f t="shared" si="16"/>
        <v>399532.02</v>
      </c>
    </row>
    <row r="114" spans="1:38" s="31" customFormat="1" ht="15">
      <c r="A114" s="57" t="s">
        <v>363</v>
      </c>
      <c r="B114" s="31">
        <v>108</v>
      </c>
      <c r="C114" s="203" t="s">
        <v>364</v>
      </c>
      <c r="D114" s="226">
        <v>150000</v>
      </c>
      <c r="E114" s="226"/>
      <c r="F114" s="226"/>
      <c r="G114" s="227"/>
      <c r="H114" s="230"/>
      <c r="I114" s="228"/>
      <c r="J114" s="229"/>
      <c r="K114" s="229"/>
      <c r="L114" s="199">
        <f t="shared" si="11"/>
        <v>150000</v>
      </c>
      <c r="M114" s="230"/>
      <c r="N114" s="228"/>
      <c r="O114" s="229"/>
      <c r="P114" s="199">
        <f t="shared" si="12"/>
        <v>0</v>
      </c>
      <c r="Q114" s="228">
        <v>121101.99</v>
      </c>
      <c r="R114" s="229">
        <v>45122.13</v>
      </c>
      <c r="S114" s="229">
        <v>46397.3</v>
      </c>
      <c r="T114" s="228"/>
      <c r="U114" s="199">
        <f t="shared" si="13"/>
        <v>212621.41999999998</v>
      </c>
      <c r="V114" s="229">
        <v>49198.64</v>
      </c>
      <c r="W114" s="227"/>
      <c r="X114" s="228"/>
      <c r="Y114" s="228"/>
      <c r="Z114" s="199">
        <f t="shared" si="14"/>
        <v>49198.64</v>
      </c>
      <c r="AA114" s="227">
        <v>0</v>
      </c>
      <c r="AB114" s="227">
        <v>0</v>
      </c>
      <c r="AC114" s="199">
        <f t="shared" si="15"/>
        <v>0</v>
      </c>
      <c r="AD114" s="245"/>
      <c r="AE114" s="228"/>
      <c r="AF114" s="245">
        <v>0</v>
      </c>
      <c r="AG114" s="228">
        <v>0</v>
      </c>
      <c r="AH114" s="228"/>
      <c r="AI114" s="228"/>
      <c r="AJ114" s="228"/>
      <c r="AK114" s="199">
        <f t="shared" si="18"/>
        <v>0</v>
      </c>
      <c r="AL114" s="85">
        <f t="shared" si="16"/>
        <v>411820.06</v>
      </c>
    </row>
    <row r="115" spans="1:38" s="31" customFormat="1" ht="15">
      <c r="A115" s="57" t="s">
        <v>365</v>
      </c>
      <c r="B115" s="31">
        <v>109</v>
      </c>
      <c r="C115" s="203" t="s">
        <v>366</v>
      </c>
      <c r="D115" s="226"/>
      <c r="E115" s="226"/>
      <c r="F115" s="226"/>
      <c r="G115" s="227"/>
      <c r="H115" s="230"/>
      <c r="I115" s="228">
        <v>51678.13</v>
      </c>
      <c r="J115" s="229"/>
      <c r="K115" s="229"/>
      <c r="L115" s="199">
        <f t="shared" si="11"/>
        <v>51678.13</v>
      </c>
      <c r="M115" s="230"/>
      <c r="N115" s="228"/>
      <c r="O115" s="229">
        <v>56199.55</v>
      </c>
      <c r="P115" s="199">
        <f t="shared" si="12"/>
        <v>56199.55</v>
      </c>
      <c r="Q115" s="228">
        <v>43359.24</v>
      </c>
      <c r="R115" s="229"/>
      <c r="S115" s="229">
        <v>15670.62</v>
      </c>
      <c r="T115" s="228"/>
      <c r="U115" s="199">
        <f t="shared" si="13"/>
        <v>59029.86</v>
      </c>
      <c r="V115" s="229">
        <v>16616.78</v>
      </c>
      <c r="W115" s="227"/>
      <c r="X115" s="228"/>
      <c r="Y115" s="228">
        <v>12485.78</v>
      </c>
      <c r="Z115" s="199">
        <f t="shared" si="14"/>
        <v>29102.559999999998</v>
      </c>
      <c r="AA115" s="227">
        <v>0</v>
      </c>
      <c r="AB115" s="227">
        <v>0</v>
      </c>
      <c r="AC115" s="199">
        <f t="shared" si="15"/>
        <v>0</v>
      </c>
      <c r="AD115" s="245"/>
      <c r="AE115" s="228"/>
      <c r="AF115" s="245">
        <v>461434.16</v>
      </c>
      <c r="AG115" s="228">
        <v>0</v>
      </c>
      <c r="AH115" s="228"/>
      <c r="AI115" s="228"/>
      <c r="AJ115" s="228"/>
      <c r="AK115" s="199">
        <f t="shared" si="18"/>
        <v>461434.16</v>
      </c>
      <c r="AL115" s="85">
        <f t="shared" si="16"/>
        <v>657444.26</v>
      </c>
    </row>
    <row r="116" spans="1:38" s="31" customFormat="1" ht="15">
      <c r="A116" s="57" t="s">
        <v>367</v>
      </c>
      <c r="B116" s="31">
        <v>110</v>
      </c>
      <c r="C116" s="203" t="s">
        <v>368</v>
      </c>
      <c r="D116" s="226"/>
      <c r="E116" s="226"/>
      <c r="F116" s="226"/>
      <c r="G116" s="227">
        <v>63073.85</v>
      </c>
      <c r="H116" s="230"/>
      <c r="I116" s="228"/>
      <c r="J116" s="229"/>
      <c r="K116" s="229"/>
      <c r="L116" s="199">
        <f t="shared" si="11"/>
        <v>63073.85</v>
      </c>
      <c r="M116" s="230">
        <v>25608.82</v>
      </c>
      <c r="N116" s="228">
        <v>49921.93</v>
      </c>
      <c r="O116" s="229"/>
      <c r="P116" s="199">
        <f t="shared" si="12"/>
        <v>75530.75</v>
      </c>
      <c r="Q116" s="228"/>
      <c r="R116" s="229"/>
      <c r="S116" s="229">
        <v>21910.73</v>
      </c>
      <c r="T116" s="228"/>
      <c r="U116" s="199">
        <f t="shared" si="13"/>
        <v>21910.73</v>
      </c>
      <c r="V116" s="229">
        <v>23233.64</v>
      </c>
      <c r="W116" s="227"/>
      <c r="X116" s="228"/>
      <c r="Y116" s="228"/>
      <c r="Z116" s="199">
        <f t="shared" si="14"/>
        <v>23233.64</v>
      </c>
      <c r="AA116" s="227">
        <v>0</v>
      </c>
      <c r="AB116" s="227">
        <v>0</v>
      </c>
      <c r="AC116" s="199">
        <f t="shared" si="15"/>
        <v>0</v>
      </c>
      <c r="AD116" s="245">
        <v>180366.82</v>
      </c>
      <c r="AE116" s="228"/>
      <c r="AF116" s="245">
        <v>213410.3</v>
      </c>
      <c r="AG116" s="228">
        <v>0</v>
      </c>
      <c r="AH116" s="228"/>
      <c r="AI116" s="228"/>
      <c r="AJ116" s="228"/>
      <c r="AK116" s="199">
        <f t="shared" si="18"/>
        <v>213410.3</v>
      </c>
      <c r="AL116" s="85">
        <f t="shared" si="16"/>
        <v>577526.09</v>
      </c>
    </row>
    <row r="117" spans="1:38" s="31" customFormat="1" ht="15">
      <c r="A117" s="57" t="s">
        <v>369</v>
      </c>
      <c r="B117" s="31">
        <v>111</v>
      </c>
      <c r="C117" s="203" t="s">
        <v>370</v>
      </c>
      <c r="D117" s="226"/>
      <c r="E117" s="226"/>
      <c r="F117" s="226"/>
      <c r="G117" s="227"/>
      <c r="H117" s="230"/>
      <c r="I117" s="228"/>
      <c r="J117" s="229"/>
      <c r="K117" s="229"/>
      <c r="L117" s="199">
        <f t="shared" si="11"/>
        <v>0</v>
      </c>
      <c r="M117" s="230"/>
      <c r="N117" s="228"/>
      <c r="O117" s="229"/>
      <c r="P117" s="199">
        <f t="shared" si="12"/>
        <v>0</v>
      </c>
      <c r="Q117" s="228"/>
      <c r="R117" s="229"/>
      <c r="S117" s="229">
        <v>0</v>
      </c>
      <c r="T117" s="228"/>
      <c r="U117" s="199">
        <f t="shared" si="13"/>
        <v>0</v>
      </c>
      <c r="V117" s="229">
        <v>0</v>
      </c>
      <c r="W117" s="227"/>
      <c r="X117" s="228"/>
      <c r="Y117" s="228"/>
      <c r="Z117" s="199">
        <f t="shared" si="14"/>
        <v>0</v>
      </c>
      <c r="AA117" s="227">
        <v>0</v>
      </c>
      <c r="AB117" s="227">
        <v>0</v>
      </c>
      <c r="AC117" s="199">
        <f t="shared" si="15"/>
        <v>0</v>
      </c>
      <c r="AD117" s="245">
        <v>9208.18</v>
      </c>
      <c r="AE117" s="228"/>
      <c r="AF117" s="245">
        <v>0</v>
      </c>
      <c r="AG117" s="228">
        <v>0</v>
      </c>
      <c r="AH117" s="228"/>
      <c r="AI117" s="228"/>
      <c r="AJ117" s="228"/>
      <c r="AK117" s="199">
        <f t="shared" si="18"/>
        <v>0</v>
      </c>
      <c r="AL117" s="85">
        <f t="shared" si="16"/>
        <v>9208.18</v>
      </c>
    </row>
    <row r="118" spans="1:38" s="31" customFormat="1" ht="15">
      <c r="A118" s="57" t="s">
        <v>371</v>
      </c>
      <c r="B118" s="31">
        <v>112</v>
      </c>
      <c r="C118" s="203" t="s">
        <v>372</v>
      </c>
      <c r="D118" s="226"/>
      <c r="E118" s="226"/>
      <c r="F118" s="226"/>
      <c r="G118" s="227"/>
      <c r="H118" s="230"/>
      <c r="I118" s="228"/>
      <c r="J118" s="229"/>
      <c r="K118" s="229"/>
      <c r="L118" s="199">
        <f t="shared" si="11"/>
        <v>0</v>
      </c>
      <c r="M118" s="230"/>
      <c r="N118" s="228"/>
      <c r="O118" s="229"/>
      <c r="P118" s="199">
        <f t="shared" si="12"/>
        <v>0</v>
      </c>
      <c r="Q118" s="228"/>
      <c r="R118" s="229"/>
      <c r="S118" s="229">
        <v>0</v>
      </c>
      <c r="T118" s="228"/>
      <c r="U118" s="199">
        <f t="shared" si="13"/>
        <v>0</v>
      </c>
      <c r="V118" s="229">
        <v>0</v>
      </c>
      <c r="W118" s="227"/>
      <c r="X118" s="228"/>
      <c r="Y118" s="228"/>
      <c r="Z118" s="199">
        <f t="shared" si="14"/>
        <v>0</v>
      </c>
      <c r="AA118" s="227">
        <v>0</v>
      </c>
      <c r="AB118" s="227">
        <v>0</v>
      </c>
      <c r="AC118" s="199">
        <f t="shared" si="15"/>
        <v>0</v>
      </c>
      <c r="AD118" s="245"/>
      <c r="AE118" s="228"/>
      <c r="AF118" s="245">
        <v>0</v>
      </c>
      <c r="AG118" s="228">
        <v>0</v>
      </c>
      <c r="AH118" s="228"/>
      <c r="AI118" s="228"/>
      <c r="AJ118" s="228"/>
      <c r="AK118" s="199">
        <f t="shared" si="18"/>
        <v>0</v>
      </c>
      <c r="AL118" s="85">
        <f t="shared" si="16"/>
        <v>0</v>
      </c>
    </row>
    <row r="119" spans="1:38" s="31" customFormat="1" ht="15">
      <c r="A119" s="57" t="s">
        <v>373</v>
      </c>
      <c r="B119" s="31">
        <v>113</v>
      </c>
      <c r="C119" s="203" t="s">
        <v>374</v>
      </c>
      <c r="D119" s="226">
        <v>150000</v>
      </c>
      <c r="E119" s="226"/>
      <c r="F119" s="226"/>
      <c r="G119" s="227"/>
      <c r="H119" s="230"/>
      <c r="I119" s="228"/>
      <c r="J119" s="229"/>
      <c r="K119" s="229"/>
      <c r="L119" s="199">
        <f t="shared" si="11"/>
        <v>150000</v>
      </c>
      <c r="M119" s="230"/>
      <c r="N119" s="228"/>
      <c r="O119" s="229"/>
      <c r="P119" s="199">
        <f t="shared" si="12"/>
        <v>0</v>
      </c>
      <c r="Q119" s="228">
        <v>1083697.18</v>
      </c>
      <c r="R119" s="229">
        <v>403781.32</v>
      </c>
      <c r="S119" s="234">
        <v>409927.82</v>
      </c>
      <c r="T119" s="228">
        <v>138917.72</v>
      </c>
      <c r="U119" s="199">
        <f t="shared" si="13"/>
        <v>2036324.04</v>
      </c>
      <c r="V119" s="248">
        <v>434678.18</v>
      </c>
      <c r="W119" s="227">
        <v>353837.04</v>
      </c>
      <c r="X119" s="228">
        <v>353849.64</v>
      </c>
      <c r="Y119" s="228"/>
      <c r="Z119" s="199">
        <f t="shared" si="14"/>
        <v>1142364.8599999999</v>
      </c>
      <c r="AA119" s="227">
        <v>827823.03</v>
      </c>
      <c r="AB119" s="227">
        <v>827823.03</v>
      </c>
      <c r="AC119" s="199">
        <f t="shared" si="15"/>
        <v>1655646.06</v>
      </c>
      <c r="AD119" s="245">
        <v>5144405.46</v>
      </c>
      <c r="AE119" s="228"/>
      <c r="AF119" s="245">
        <v>5262732.52</v>
      </c>
      <c r="AG119" s="228">
        <v>0</v>
      </c>
      <c r="AH119" s="228"/>
      <c r="AI119" s="228"/>
      <c r="AJ119" s="228"/>
      <c r="AK119" s="199">
        <f t="shared" si="18"/>
        <v>5262732.52</v>
      </c>
      <c r="AL119" s="85">
        <f t="shared" si="16"/>
        <v>15391472.940000001</v>
      </c>
    </row>
    <row r="120" spans="2:38" s="31" customFormat="1" ht="63.75" customHeight="1">
      <c r="B120" s="58"/>
      <c r="C120" s="63" t="s">
        <v>375</v>
      </c>
      <c r="D120" s="59"/>
      <c r="E120" s="59"/>
      <c r="F120" s="59"/>
      <c r="G120" s="59"/>
      <c r="H120" s="59"/>
      <c r="I120" s="59"/>
      <c r="J120" s="59"/>
      <c r="K120" s="59"/>
      <c r="L120" s="59"/>
      <c r="M120" s="59"/>
      <c r="N120" s="59"/>
      <c r="O120" s="59"/>
      <c r="P120" s="59"/>
      <c r="Q120" s="59"/>
      <c r="R120" s="59"/>
      <c r="S120" s="59"/>
      <c r="T120" s="59"/>
      <c r="U120" s="59"/>
      <c r="V120" s="59"/>
      <c r="W120" s="59"/>
      <c r="X120" s="59"/>
      <c r="Y120" s="59"/>
      <c r="Z120" s="199">
        <f t="shared" si="14"/>
        <v>0</v>
      </c>
      <c r="AA120" s="59"/>
      <c r="AB120" s="59"/>
      <c r="AC120" s="59"/>
      <c r="AD120" s="59"/>
      <c r="AE120" s="59"/>
      <c r="AF120" s="59"/>
      <c r="AG120" s="59"/>
      <c r="AH120" s="59"/>
      <c r="AI120" s="59"/>
      <c r="AJ120" s="59"/>
      <c r="AK120" s="59"/>
      <c r="AL120" s="59"/>
    </row>
    <row r="121" spans="2:38" s="31" customFormat="1" ht="15">
      <c r="B121" s="58"/>
      <c r="C121" s="58"/>
      <c r="D121" s="58"/>
      <c r="E121" s="58"/>
      <c r="F121" s="58"/>
      <c r="G121" s="58"/>
      <c r="H121" s="58"/>
      <c r="I121" s="59"/>
      <c r="J121" s="59"/>
      <c r="K121" s="59"/>
      <c r="L121" s="59"/>
      <c r="M121" s="58"/>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row>
    <row r="122" spans="2:38" s="31" customFormat="1" ht="14.25">
      <c r="B122" s="58"/>
      <c r="C122" s="58"/>
      <c r="D122" s="58"/>
      <c r="E122" s="58"/>
      <c r="F122" s="58"/>
      <c r="G122" s="58"/>
      <c r="H122" s="58"/>
      <c r="I122" s="59"/>
      <c r="J122" s="59"/>
      <c r="K122" s="59"/>
      <c r="L122" s="59"/>
      <c r="M122" s="58"/>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row>
    <row r="123" spans="2:38" s="31" customFormat="1" ht="14.25">
      <c r="B123" s="58"/>
      <c r="C123" s="58"/>
      <c r="D123" s="58"/>
      <c r="E123" s="58"/>
      <c r="F123" s="58"/>
      <c r="G123" s="58"/>
      <c r="H123" s="60"/>
      <c r="I123" s="59"/>
      <c r="J123" s="59"/>
      <c r="K123" s="59"/>
      <c r="L123" s="59"/>
      <c r="M123" s="58"/>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row>
    <row r="124" spans="2:38" s="31" customFormat="1" ht="14.25">
      <c r="B124" s="58"/>
      <c r="C124" s="58"/>
      <c r="D124" s="58"/>
      <c r="E124" s="58"/>
      <c r="F124" s="58"/>
      <c r="G124" s="58"/>
      <c r="H124" s="58"/>
      <c r="I124" s="59"/>
      <c r="J124" s="59"/>
      <c r="K124" s="59"/>
      <c r="L124" s="59"/>
      <c r="M124" s="58"/>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row>
    <row r="125" spans="2:38" s="31" customFormat="1" ht="14.25">
      <c r="B125" s="58"/>
      <c r="C125" s="58"/>
      <c r="D125" s="58"/>
      <c r="E125" s="58"/>
      <c r="F125" s="58"/>
      <c r="G125" s="58"/>
      <c r="H125" s="58"/>
      <c r="I125" s="59"/>
      <c r="J125" s="59"/>
      <c r="K125" s="59"/>
      <c r="L125" s="59"/>
      <c r="M125" s="58"/>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row>
    <row r="126" spans="2:38" s="31" customFormat="1" ht="14.25">
      <c r="B126" s="58"/>
      <c r="C126" s="58"/>
      <c r="D126" s="58"/>
      <c r="E126" s="58"/>
      <c r="F126" s="58"/>
      <c r="G126" s="58"/>
      <c r="H126" s="58"/>
      <c r="I126" s="59"/>
      <c r="J126" s="59"/>
      <c r="K126" s="59"/>
      <c r="L126" s="59"/>
      <c r="M126" s="58"/>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row>
  </sheetData>
  <sheetProtection/>
  <mergeCells count="13">
    <mergeCell ref="AE1:AJ1"/>
    <mergeCell ref="AL1:AL2"/>
    <mergeCell ref="V1:X1"/>
    <mergeCell ref="AK1:AK2"/>
    <mergeCell ref="Z1:Z2"/>
    <mergeCell ref="AA1:AB1"/>
    <mergeCell ref="AC1:AC2"/>
    <mergeCell ref="Q1:T1"/>
    <mergeCell ref="U1:U2"/>
    <mergeCell ref="D1:K1"/>
    <mergeCell ref="L1:L2"/>
    <mergeCell ref="M1:O1"/>
    <mergeCell ref="P1:P2"/>
  </mergeCells>
  <printOp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B1:M13"/>
  <sheetViews>
    <sheetView tabSelected="1" zoomScale="85" zoomScaleNormal="85" zoomScalePageLayoutView="0" workbookViewId="0" topLeftCell="A1">
      <selection activeCell="B2" sqref="B2:B3"/>
    </sheetView>
  </sheetViews>
  <sheetFormatPr defaultColWidth="11.421875" defaultRowHeight="21.75" customHeight="1"/>
  <cols>
    <col min="1" max="1" width="11.421875" style="174" customWidth="1"/>
    <col min="2" max="2" width="31.00390625" style="241" bestFit="1" customWidth="1"/>
    <col min="3" max="13" width="17.7109375" style="174" customWidth="1"/>
    <col min="14" max="16384" width="11.421875" style="174" customWidth="1"/>
  </cols>
  <sheetData>
    <row r="1" spans="2:13" ht="66.75" customHeight="1">
      <c r="B1" s="300" t="s">
        <v>444</v>
      </c>
      <c r="C1" s="300"/>
      <c r="D1" s="300"/>
      <c r="E1" s="300"/>
      <c r="F1" s="300"/>
      <c r="G1" s="300"/>
      <c r="H1" s="300"/>
      <c r="I1" s="300"/>
      <c r="J1" s="300"/>
      <c r="K1" s="300"/>
      <c r="L1" s="300"/>
      <c r="M1" s="300"/>
    </row>
    <row r="2" spans="2:13" ht="41.25" customHeight="1">
      <c r="B2" s="301" t="s">
        <v>63</v>
      </c>
      <c r="C2" s="302" t="s">
        <v>135</v>
      </c>
      <c r="D2" s="302"/>
      <c r="E2" s="302" t="s">
        <v>441</v>
      </c>
      <c r="F2" s="302"/>
      <c r="G2" s="302"/>
      <c r="H2" s="302"/>
      <c r="I2" s="302" t="s">
        <v>422</v>
      </c>
      <c r="J2" s="302"/>
      <c r="K2" s="302" t="s">
        <v>421</v>
      </c>
      <c r="L2" s="302"/>
      <c r="M2" s="302"/>
    </row>
    <row r="3" spans="2:13" ht="72" customHeight="1">
      <c r="B3" s="301"/>
      <c r="C3" s="250" t="s">
        <v>94</v>
      </c>
      <c r="D3" s="250" t="s">
        <v>98</v>
      </c>
      <c r="E3" s="249" t="s">
        <v>95</v>
      </c>
      <c r="F3" s="249" t="s">
        <v>96</v>
      </c>
      <c r="G3" s="249" t="s">
        <v>97</v>
      </c>
      <c r="H3" s="250" t="s">
        <v>438</v>
      </c>
      <c r="I3" s="249" t="s">
        <v>118</v>
      </c>
      <c r="J3" s="249" t="s">
        <v>99</v>
      </c>
      <c r="K3" s="249" t="s">
        <v>133</v>
      </c>
      <c r="L3" s="249" t="s">
        <v>440</v>
      </c>
      <c r="M3" s="249" t="s">
        <v>134</v>
      </c>
    </row>
    <row r="4" spans="2:13" ht="21.75" customHeight="1">
      <c r="B4" s="239" t="s">
        <v>4</v>
      </c>
      <c r="C4" s="251">
        <v>4261593617.9999905</v>
      </c>
      <c r="D4" s="252">
        <v>3346891377.0299997</v>
      </c>
      <c r="E4" s="253">
        <v>3607638600</v>
      </c>
      <c r="F4" s="252">
        <v>155146402</v>
      </c>
      <c r="G4" s="252">
        <v>3762785002</v>
      </c>
      <c r="H4" s="252">
        <v>3140839200</v>
      </c>
      <c r="I4" s="252">
        <v>498808615.99999046</v>
      </c>
      <c r="J4" s="252">
        <v>206052177.02999973</v>
      </c>
      <c r="K4" s="252">
        <v>38596733</v>
      </c>
      <c r="L4" s="252">
        <v>926321592</v>
      </c>
      <c r="M4" s="252">
        <v>427512976.00000954</v>
      </c>
    </row>
    <row r="5" spans="2:13" ht="21.75" customHeight="1">
      <c r="B5" s="239" t="s">
        <v>100</v>
      </c>
      <c r="C5" s="251">
        <v>1508840937.0700011</v>
      </c>
      <c r="D5" s="252">
        <v>1099206182.11</v>
      </c>
      <c r="E5" s="252">
        <v>1292511284</v>
      </c>
      <c r="F5" s="252">
        <v>132922425</v>
      </c>
      <c r="G5" s="252">
        <v>1425433709</v>
      </c>
      <c r="H5" s="252">
        <v>881400053</v>
      </c>
      <c r="I5" s="252">
        <v>83407228.07000113</v>
      </c>
      <c r="J5" s="252">
        <v>217806129.10999984</v>
      </c>
      <c r="K5" s="254"/>
      <c r="L5" s="254"/>
      <c r="M5" s="254"/>
    </row>
    <row r="6" spans="2:13" ht="21.75" customHeight="1">
      <c r="B6" s="239" t="s">
        <v>131</v>
      </c>
      <c r="C6" s="251">
        <v>189440851.20960066</v>
      </c>
      <c r="D6" s="252">
        <v>81966781.30999988</v>
      </c>
      <c r="E6" s="254"/>
      <c r="F6" s="254"/>
      <c r="G6" s="252">
        <v>125886259.55959997</v>
      </c>
      <c r="H6" s="254"/>
      <c r="I6" s="252">
        <v>63554591.65000069</v>
      </c>
      <c r="J6" s="252">
        <v>81966781.30999988</v>
      </c>
      <c r="K6" s="295">
        <v>14485045.4</v>
      </c>
      <c r="L6" s="295">
        <v>347641089.6</v>
      </c>
      <c r="M6" s="252">
        <v>284086497.94999933</v>
      </c>
    </row>
    <row r="7" spans="2:13" ht="21.75" customHeight="1">
      <c r="B7" s="239" t="s">
        <v>101</v>
      </c>
      <c r="C7" s="251">
        <v>1319400085.8604004</v>
      </c>
      <c r="D7" s="252">
        <v>1017239400.8</v>
      </c>
      <c r="E7" s="254"/>
      <c r="F7" s="254"/>
      <c r="G7" s="252">
        <v>1299547449.4404001</v>
      </c>
      <c r="H7" s="252">
        <v>881400053</v>
      </c>
      <c r="I7" s="252">
        <v>19852636.420000315</v>
      </c>
      <c r="J7" s="252">
        <v>135839347.79999995</v>
      </c>
      <c r="K7" s="295"/>
      <c r="L7" s="295"/>
      <c r="M7" s="254">
        <v>537081940.8096007</v>
      </c>
    </row>
    <row r="8" spans="2:13" ht="21.75" customHeight="1">
      <c r="B8" s="239" t="s">
        <v>74</v>
      </c>
      <c r="C8" s="251">
        <v>334867181.66999996</v>
      </c>
      <c r="D8" s="252">
        <v>254975220.7100001</v>
      </c>
      <c r="E8" s="252">
        <v>283486691</v>
      </c>
      <c r="F8" s="252">
        <v>30340896</v>
      </c>
      <c r="G8" s="252">
        <v>313827587</v>
      </c>
      <c r="H8" s="252">
        <v>196456930</v>
      </c>
      <c r="I8" s="252">
        <v>21039594.669999957</v>
      </c>
      <c r="J8" s="252">
        <v>58518290.7100001</v>
      </c>
      <c r="K8" s="255"/>
      <c r="L8" s="255"/>
      <c r="M8" s="255"/>
    </row>
    <row r="9" spans="2:13" ht="21.75" customHeight="1">
      <c r="B9" s="239" t="s">
        <v>131</v>
      </c>
      <c r="C9" s="251">
        <v>46582875.36999999</v>
      </c>
      <c r="D9" s="252">
        <v>36138906.81000002</v>
      </c>
      <c r="E9" s="254"/>
      <c r="F9" s="254"/>
      <c r="G9" s="252">
        <v>27617603.669999998</v>
      </c>
      <c r="H9" s="255"/>
      <c r="I9" s="252">
        <v>18965271.69999999</v>
      </c>
      <c r="J9" s="252">
        <v>36138906.81000002</v>
      </c>
      <c r="K9" s="295">
        <v>2440927</v>
      </c>
      <c r="L9" s="295">
        <v>58582248</v>
      </c>
      <c r="M9" s="252">
        <v>39616976.30000001</v>
      </c>
    </row>
    <row r="10" spans="2:13" ht="21.75" customHeight="1">
      <c r="B10" s="239" t="s">
        <v>101</v>
      </c>
      <c r="C10" s="251">
        <v>288284306.29999995</v>
      </c>
      <c r="D10" s="252">
        <v>218836313.90000007</v>
      </c>
      <c r="E10" s="254"/>
      <c r="F10" s="254"/>
      <c r="G10" s="252">
        <v>286209983.33</v>
      </c>
      <c r="H10" s="252">
        <v>196456930</v>
      </c>
      <c r="I10" s="252">
        <v>2074322.969999969</v>
      </c>
      <c r="J10" s="252">
        <v>22379383.900000066</v>
      </c>
      <c r="K10" s="295"/>
      <c r="L10" s="295"/>
      <c r="M10" s="254">
        <v>105165123.36999999</v>
      </c>
    </row>
    <row r="11" spans="2:13" ht="23.25" customHeight="1">
      <c r="B11" s="239" t="s">
        <v>61</v>
      </c>
      <c r="C11" s="256">
        <v>6105301736.739992</v>
      </c>
      <c r="D11" s="256">
        <v>4701072779.849999</v>
      </c>
      <c r="E11" s="256">
        <v>5183636575</v>
      </c>
      <c r="F11" s="256">
        <v>318409723</v>
      </c>
      <c r="G11" s="256">
        <v>5502046298</v>
      </c>
      <c r="H11" s="256">
        <v>4218696183</v>
      </c>
      <c r="I11" s="256">
        <v>583402802.3199911</v>
      </c>
      <c r="J11" s="256">
        <v>482376596.84999967</v>
      </c>
      <c r="K11" s="256">
        <v>55522705.4</v>
      </c>
      <c r="L11" s="256">
        <v>1332544929.6</v>
      </c>
      <c r="M11" s="256">
        <v>751216450.2500088</v>
      </c>
    </row>
    <row r="12" spans="3:13" ht="30.75" customHeight="1">
      <c r="C12" s="296" t="s">
        <v>443</v>
      </c>
      <c r="D12" s="297"/>
      <c r="E12" s="297"/>
      <c r="F12" s="297"/>
      <c r="G12" s="297"/>
      <c r="H12" s="297"/>
      <c r="I12" s="297"/>
      <c r="J12" s="297"/>
      <c r="K12" s="297"/>
      <c r="L12" s="297"/>
      <c r="M12" s="297"/>
    </row>
    <row r="13" spans="3:13" ht="42.75" customHeight="1">
      <c r="C13" s="298" t="s">
        <v>442</v>
      </c>
      <c r="D13" s="299"/>
      <c r="E13" s="299"/>
      <c r="F13" s="299"/>
      <c r="G13" s="299"/>
      <c r="H13" s="299"/>
      <c r="I13" s="299"/>
      <c r="J13" s="299"/>
      <c r="K13" s="299"/>
      <c r="L13" s="299"/>
      <c r="M13" s="299"/>
    </row>
  </sheetData>
  <sheetProtection/>
  <mergeCells count="12">
    <mergeCell ref="B1:M1"/>
    <mergeCell ref="B2:B3"/>
    <mergeCell ref="C2:D2"/>
    <mergeCell ref="E2:H2"/>
    <mergeCell ref="I2:J2"/>
    <mergeCell ref="K2:M2"/>
    <mergeCell ref="K6:K7"/>
    <mergeCell ref="L6:L7"/>
    <mergeCell ref="K9:K10"/>
    <mergeCell ref="L9:L10"/>
    <mergeCell ref="C12:M12"/>
    <mergeCell ref="C13:M13"/>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7030A0"/>
  </sheetPr>
  <dimension ref="A1:O91"/>
  <sheetViews>
    <sheetView zoomScalePageLayoutView="0" workbookViewId="0" topLeftCell="A1">
      <selection activeCell="A1" sqref="A1:M1"/>
    </sheetView>
  </sheetViews>
  <sheetFormatPr defaultColWidth="11.421875" defaultRowHeight="15"/>
  <cols>
    <col min="1" max="1" width="13.421875" style="5" customWidth="1"/>
    <col min="2" max="2" width="11.8515625" style="5" customWidth="1"/>
    <col min="3" max="3" width="19.8515625" style="9" customWidth="1"/>
    <col min="4" max="4" width="17.00390625" style="9" customWidth="1"/>
    <col min="5" max="7" width="16.8515625" style="10" customWidth="1"/>
    <col min="8" max="13" width="16.8515625" style="5" customWidth="1"/>
    <col min="14" max="14" width="11.421875" style="5" customWidth="1"/>
    <col min="15" max="15" width="14.8515625" style="5" bestFit="1" customWidth="1"/>
    <col min="16" max="16384" width="11.421875" style="5" customWidth="1"/>
  </cols>
  <sheetData>
    <row r="1" spans="1:13" ht="58.5" customHeight="1">
      <c r="A1" s="334" t="s">
        <v>403</v>
      </c>
      <c r="B1" s="334"/>
      <c r="C1" s="334"/>
      <c r="D1" s="334"/>
      <c r="E1" s="334"/>
      <c r="F1" s="334"/>
      <c r="G1" s="334"/>
      <c r="H1" s="334"/>
      <c r="I1" s="334"/>
      <c r="J1" s="334"/>
      <c r="K1" s="334"/>
      <c r="L1" s="334"/>
      <c r="M1" s="334"/>
    </row>
    <row r="2" spans="1:13" ht="33" customHeight="1">
      <c r="A2" s="309" t="s">
        <v>92</v>
      </c>
      <c r="B2" s="309"/>
      <c r="C2" s="309"/>
      <c r="D2" s="313" t="s">
        <v>392</v>
      </c>
      <c r="E2" s="314"/>
      <c r="F2" s="314"/>
      <c r="G2" s="314"/>
      <c r="H2" s="314"/>
      <c r="I2" s="314"/>
      <c r="J2" s="314"/>
      <c r="K2" s="314"/>
      <c r="L2" s="314"/>
      <c r="M2" s="315"/>
    </row>
    <row r="3" spans="1:13" ht="31.5" customHeight="1">
      <c r="A3" s="309"/>
      <c r="B3" s="309"/>
      <c r="C3" s="309"/>
      <c r="D3" s="6" t="s">
        <v>81</v>
      </c>
      <c r="E3" s="6" t="s">
        <v>85</v>
      </c>
      <c r="F3" s="6">
        <v>2013</v>
      </c>
      <c r="G3" s="6">
        <v>2014</v>
      </c>
      <c r="H3" s="6">
        <v>2015</v>
      </c>
      <c r="I3" s="6">
        <v>2016</v>
      </c>
      <c r="J3" s="6">
        <v>2017</v>
      </c>
      <c r="K3" s="6">
        <v>2018</v>
      </c>
      <c r="L3" s="6">
        <v>2019</v>
      </c>
      <c r="M3" s="6">
        <v>2020</v>
      </c>
    </row>
    <row r="4" spans="1:13" ht="72.75" customHeight="1">
      <c r="A4" s="303" t="s">
        <v>82</v>
      </c>
      <c r="B4" s="307" t="s">
        <v>83</v>
      </c>
      <c r="C4" s="11" t="s">
        <v>84</v>
      </c>
      <c r="D4" s="24">
        <f>SUM(E4:M4)</f>
        <v>133933072.31</v>
      </c>
      <c r="E4" s="18">
        <v>133933072.31</v>
      </c>
      <c r="F4" s="18"/>
      <c r="G4" s="18"/>
      <c r="H4" s="19"/>
      <c r="I4" s="19"/>
      <c r="J4" s="19"/>
      <c r="K4" s="19"/>
      <c r="L4" s="19"/>
      <c r="M4" s="19"/>
    </row>
    <row r="5" spans="1:13" ht="21.75" customHeight="1">
      <c r="A5" s="303"/>
      <c r="B5" s="307"/>
      <c r="C5" s="15" t="s">
        <v>86</v>
      </c>
      <c r="D5" s="24">
        <f aca="true" t="shared" si="0" ref="D5:D14">SUM(E5:M5)</f>
        <v>210974187.69</v>
      </c>
      <c r="E5" s="18">
        <v>210974187.69</v>
      </c>
      <c r="F5" s="18"/>
      <c r="G5" s="18"/>
      <c r="H5" s="19"/>
      <c r="I5" s="19"/>
      <c r="J5" s="19"/>
      <c r="K5" s="19"/>
      <c r="L5" s="19"/>
      <c r="M5" s="19"/>
    </row>
    <row r="6" spans="1:13" ht="22.5" customHeight="1">
      <c r="A6" s="303"/>
      <c r="B6" s="307"/>
      <c r="C6" s="15" t="s">
        <v>87</v>
      </c>
      <c r="D6" s="24">
        <f t="shared" si="0"/>
        <v>985000000</v>
      </c>
      <c r="E6" s="18"/>
      <c r="F6" s="18">
        <v>660000000</v>
      </c>
      <c r="G6" s="18">
        <v>167000000</v>
      </c>
      <c r="H6" s="18">
        <v>158000000</v>
      </c>
      <c r="I6" s="20"/>
      <c r="J6" s="19"/>
      <c r="K6" s="19"/>
      <c r="L6" s="19"/>
      <c r="M6" s="19"/>
    </row>
    <row r="7" spans="1:13" ht="24.75" customHeight="1">
      <c r="A7" s="335" t="s">
        <v>88</v>
      </c>
      <c r="B7" s="337" t="s">
        <v>89</v>
      </c>
      <c r="C7" s="15" t="s">
        <v>109</v>
      </c>
      <c r="D7" s="24">
        <f t="shared" si="0"/>
        <v>114483474</v>
      </c>
      <c r="E7" s="18"/>
      <c r="F7" s="18"/>
      <c r="G7" s="18">
        <v>114483474</v>
      </c>
      <c r="H7" s="19"/>
      <c r="I7" s="19"/>
      <c r="J7" s="19"/>
      <c r="K7" s="19"/>
      <c r="L7" s="19"/>
      <c r="M7" s="19"/>
    </row>
    <row r="8" spans="1:13" ht="20.25" customHeight="1">
      <c r="A8" s="336"/>
      <c r="B8" s="338"/>
      <c r="C8" s="15" t="s">
        <v>108</v>
      </c>
      <c r="D8" s="24">
        <f t="shared" si="0"/>
        <v>228966948</v>
      </c>
      <c r="E8" s="18"/>
      <c r="F8" s="18"/>
      <c r="G8" s="18"/>
      <c r="H8" s="18">
        <v>114483474</v>
      </c>
      <c r="I8" s="18">
        <v>114483474</v>
      </c>
      <c r="J8" s="19"/>
      <c r="K8" s="19"/>
      <c r="L8" s="19"/>
      <c r="M8" s="19"/>
    </row>
    <row r="9" spans="1:13" ht="27.75" customHeight="1">
      <c r="A9" s="336"/>
      <c r="B9" s="338"/>
      <c r="C9" s="15" t="s">
        <v>132</v>
      </c>
      <c r="D9" s="24">
        <f t="shared" si="0"/>
        <v>0</v>
      </c>
      <c r="E9" s="18"/>
      <c r="F9" s="18"/>
      <c r="G9" s="18"/>
      <c r="H9" s="18"/>
      <c r="I9" s="18"/>
      <c r="J9" s="19"/>
      <c r="K9" s="19"/>
      <c r="L9" s="19"/>
      <c r="M9" s="19"/>
    </row>
    <row r="10" spans="1:13" ht="28.5" customHeight="1">
      <c r="A10" s="335" t="s">
        <v>90</v>
      </c>
      <c r="B10" s="337" t="s">
        <v>91</v>
      </c>
      <c r="C10" s="15" t="s">
        <v>108</v>
      </c>
      <c r="D10" s="24">
        <f t="shared" si="0"/>
        <v>142525129</v>
      </c>
      <c r="E10" s="83"/>
      <c r="F10" s="21"/>
      <c r="G10" s="83">
        <v>142525129</v>
      </c>
      <c r="H10" s="83"/>
      <c r="I10" s="90"/>
      <c r="J10" s="91"/>
      <c r="K10" s="91"/>
      <c r="L10" s="91"/>
      <c r="M10" s="19"/>
    </row>
    <row r="11" spans="1:13" ht="25.5" customHeight="1">
      <c r="A11" s="336"/>
      <c r="B11" s="338"/>
      <c r="C11" s="15" t="s">
        <v>132</v>
      </c>
      <c r="D11" s="24">
        <f t="shared" si="0"/>
        <v>269114280.65</v>
      </c>
      <c r="E11" s="18"/>
      <c r="F11" s="18"/>
      <c r="G11" s="18">
        <f>205819704.83-G10</f>
        <v>63294575.83000001</v>
      </c>
      <c r="H11" s="18">
        <v>205819704.82</v>
      </c>
      <c r="I11" s="20"/>
      <c r="J11" s="19"/>
      <c r="K11" s="19"/>
      <c r="L11" s="19"/>
      <c r="M11" s="19"/>
    </row>
    <row r="12" spans="1:13" ht="26.25" customHeight="1">
      <c r="A12" s="336"/>
      <c r="B12" s="338"/>
      <c r="C12" s="15" t="s">
        <v>389</v>
      </c>
      <c r="D12" s="24">
        <f t="shared" si="0"/>
        <v>110893532.61</v>
      </c>
      <c r="E12" s="18"/>
      <c r="F12" s="18"/>
      <c r="G12" s="18">
        <v>69861565.25</v>
      </c>
      <c r="H12" s="18">
        <v>41031967.36</v>
      </c>
      <c r="I12" s="20"/>
      <c r="J12" s="19"/>
      <c r="K12" s="19"/>
      <c r="L12" s="19"/>
      <c r="M12" s="19"/>
    </row>
    <row r="13" spans="1:13" ht="29.25" customHeight="1">
      <c r="A13" s="16" t="s">
        <v>105</v>
      </c>
      <c r="B13" s="7" t="s">
        <v>106</v>
      </c>
      <c r="C13" s="15" t="s">
        <v>389</v>
      </c>
      <c r="D13" s="24">
        <f t="shared" si="0"/>
        <v>210000000</v>
      </c>
      <c r="E13" s="18"/>
      <c r="F13" s="18"/>
      <c r="G13" s="18"/>
      <c r="H13" s="18">
        <v>67200000</v>
      </c>
      <c r="I13" s="18">
        <v>84000000</v>
      </c>
      <c r="J13" s="18">
        <v>58800000</v>
      </c>
      <c r="K13" s="19"/>
      <c r="L13" s="19"/>
      <c r="M13" s="19"/>
    </row>
    <row r="14" spans="1:13" ht="43.5" customHeight="1">
      <c r="A14" s="16" t="s">
        <v>405</v>
      </c>
      <c r="B14" s="86" t="s">
        <v>91</v>
      </c>
      <c r="C14" s="15" t="s">
        <v>389</v>
      </c>
      <c r="D14" s="24">
        <f t="shared" si="0"/>
        <v>481650886.24</v>
      </c>
      <c r="E14" s="19"/>
      <c r="F14" s="19"/>
      <c r="G14" s="19"/>
      <c r="H14" s="18">
        <v>190000000</v>
      </c>
      <c r="I14" s="18">
        <v>291650886.24</v>
      </c>
      <c r="J14" s="19"/>
      <c r="K14" s="19"/>
      <c r="L14" s="19"/>
      <c r="M14" s="19"/>
    </row>
    <row r="15" spans="1:13" ht="32.25" customHeight="1">
      <c r="A15" s="304" t="s">
        <v>120</v>
      </c>
      <c r="B15" s="304"/>
      <c r="C15" s="304"/>
      <c r="D15" s="25">
        <f>SUM(E15:M15)</f>
        <v>2887541510.5</v>
      </c>
      <c r="E15" s="26">
        <f aca="true" t="shared" si="1" ref="E15:M15">SUM(E4:E14)</f>
        <v>344907260</v>
      </c>
      <c r="F15" s="26">
        <f t="shared" si="1"/>
        <v>660000000</v>
      </c>
      <c r="G15" s="26">
        <f t="shared" si="1"/>
        <v>557164744.08</v>
      </c>
      <c r="H15" s="26">
        <f t="shared" si="1"/>
        <v>776535146.1800001</v>
      </c>
      <c r="I15" s="26">
        <f t="shared" si="1"/>
        <v>490134360.24</v>
      </c>
      <c r="J15" s="26">
        <f t="shared" si="1"/>
        <v>58800000</v>
      </c>
      <c r="K15" s="26">
        <f t="shared" si="1"/>
        <v>0</v>
      </c>
      <c r="L15" s="26">
        <f t="shared" si="1"/>
        <v>0</v>
      </c>
      <c r="M15" s="26">
        <f t="shared" si="1"/>
        <v>0</v>
      </c>
    </row>
    <row r="16" spans="1:13" ht="23.25" customHeight="1">
      <c r="A16" s="319" t="s">
        <v>123</v>
      </c>
      <c r="B16" s="320"/>
      <c r="C16" s="320"/>
      <c r="D16" s="321"/>
      <c r="E16" s="322">
        <f>E15+F15+G15</f>
        <v>1562072004.08</v>
      </c>
      <c r="F16" s="323"/>
      <c r="G16" s="324"/>
      <c r="H16" s="33">
        <f>E16+H15</f>
        <v>2338607150.26</v>
      </c>
      <c r="I16" s="33">
        <f>H16+I15</f>
        <v>2828741510.5</v>
      </c>
      <c r="J16" s="33">
        <f>I16+J15</f>
        <v>2887541510.5</v>
      </c>
      <c r="K16" s="33">
        <f>J16+K15</f>
        <v>2887541510.5</v>
      </c>
      <c r="L16" s="33">
        <f>K16+L15</f>
        <v>2887541510.5</v>
      </c>
      <c r="M16" s="33">
        <f>L16+M15</f>
        <v>2887541510.5</v>
      </c>
    </row>
    <row r="17" spans="1:13" ht="30.75" customHeight="1">
      <c r="A17" s="319" t="s">
        <v>391</v>
      </c>
      <c r="B17" s="320"/>
      <c r="C17" s="320"/>
      <c r="D17" s="321"/>
      <c r="E17" s="328">
        <v>1208119600</v>
      </c>
      <c r="F17" s="329"/>
      <c r="G17" s="330"/>
      <c r="H17" s="47"/>
      <c r="I17" s="47"/>
      <c r="J17" s="47"/>
      <c r="K17" s="47"/>
      <c r="L17" s="47"/>
      <c r="M17" s="47"/>
    </row>
    <row r="18" spans="1:13" ht="24.75" customHeight="1" hidden="1">
      <c r="A18" s="310" t="s">
        <v>119</v>
      </c>
      <c r="B18" s="311"/>
      <c r="C18" s="311"/>
      <c r="D18" s="312"/>
      <c r="E18" s="34">
        <v>228369779.99999997</v>
      </c>
      <c r="F18" s="34">
        <v>383114000</v>
      </c>
      <c r="G18" s="34">
        <v>652462100</v>
      </c>
      <c r="H18" s="34">
        <v>868652376</v>
      </c>
      <c r="I18" s="34">
        <v>1060000000</v>
      </c>
      <c r="J18" s="34">
        <f>1042117000+(E18+F18+G18-E19)</f>
        <v>1097943280</v>
      </c>
      <c r="K18" s="34">
        <v>817700000</v>
      </c>
      <c r="L18" s="34">
        <v>550800000</v>
      </c>
      <c r="M18" s="34">
        <v>102000000</v>
      </c>
    </row>
    <row r="19" spans="1:13" ht="23.25" customHeight="1">
      <c r="A19" s="319" t="s">
        <v>119</v>
      </c>
      <c r="B19" s="320"/>
      <c r="C19" s="320"/>
      <c r="D19" s="321"/>
      <c r="E19" s="325">
        <f>E17</f>
        <v>1208119600</v>
      </c>
      <c r="F19" s="326"/>
      <c r="G19" s="327"/>
      <c r="H19" s="34">
        <f aca="true" t="shared" si="2" ref="H19:M19">H18</f>
        <v>868652376</v>
      </c>
      <c r="I19" s="34">
        <f t="shared" si="2"/>
        <v>1060000000</v>
      </c>
      <c r="J19" s="34">
        <f t="shared" si="2"/>
        <v>1097943280</v>
      </c>
      <c r="K19" s="34">
        <f t="shared" si="2"/>
        <v>817700000</v>
      </c>
      <c r="L19" s="34">
        <f t="shared" si="2"/>
        <v>550800000</v>
      </c>
      <c r="M19" s="34">
        <f t="shared" si="2"/>
        <v>102000000</v>
      </c>
    </row>
    <row r="20" spans="1:13" ht="23.25" customHeight="1">
      <c r="A20" s="319" t="s">
        <v>121</v>
      </c>
      <c r="B20" s="320"/>
      <c r="C20" s="320"/>
      <c r="D20" s="321"/>
      <c r="E20" s="316">
        <f>E19</f>
        <v>1208119600</v>
      </c>
      <c r="F20" s="317"/>
      <c r="G20" s="318"/>
      <c r="H20" s="35">
        <f>E20+H19</f>
        <v>2076771976</v>
      </c>
      <c r="I20" s="35">
        <f>H20+I19</f>
        <v>3136771976</v>
      </c>
      <c r="J20" s="35">
        <f>I20+J19</f>
        <v>4234715256</v>
      </c>
      <c r="K20" s="35">
        <f>J20+K19</f>
        <v>5052415256</v>
      </c>
      <c r="L20" s="35">
        <f>K20+L19</f>
        <v>5603215256</v>
      </c>
      <c r="M20" s="35">
        <f>L20+M19</f>
        <v>5705215256</v>
      </c>
    </row>
    <row r="21" spans="1:13" ht="23.25" customHeight="1">
      <c r="A21" s="319" t="s">
        <v>122</v>
      </c>
      <c r="B21" s="320"/>
      <c r="C21" s="320"/>
      <c r="D21" s="321"/>
      <c r="E21" s="331">
        <f>E16-E20</f>
        <v>353952404.0799999</v>
      </c>
      <c r="F21" s="332"/>
      <c r="G21" s="333"/>
      <c r="H21" s="26">
        <f aca="true" t="shared" si="3" ref="H21:M21">H16-H20</f>
        <v>261835174.26000023</v>
      </c>
      <c r="I21" s="26">
        <f t="shared" si="3"/>
        <v>-308030465.5</v>
      </c>
      <c r="J21" s="26">
        <f t="shared" si="3"/>
        <v>-1347173745.5</v>
      </c>
      <c r="K21" s="26">
        <f t="shared" si="3"/>
        <v>-2164873745.5</v>
      </c>
      <c r="L21" s="26">
        <f t="shared" si="3"/>
        <v>-2715673745.5</v>
      </c>
      <c r="M21" s="26">
        <f t="shared" si="3"/>
        <v>-2817673745.5</v>
      </c>
    </row>
    <row r="22" spans="1:13" ht="35.25" customHeight="1">
      <c r="A22" s="309" t="s">
        <v>92</v>
      </c>
      <c r="B22" s="309"/>
      <c r="C22" s="309"/>
      <c r="D22" s="313" t="s">
        <v>393</v>
      </c>
      <c r="E22" s="314"/>
      <c r="F22" s="314"/>
      <c r="G22" s="314"/>
      <c r="H22" s="314"/>
      <c r="I22" s="314"/>
      <c r="J22" s="314"/>
      <c r="K22" s="314"/>
      <c r="L22" s="314"/>
      <c r="M22" s="315"/>
    </row>
    <row r="23" spans="1:13" ht="31.5" customHeight="1">
      <c r="A23" s="309"/>
      <c r="B23" s="309"/>
      <c r="C23" s="309"/>
      <c r="D23" s="6" t="s">
        <v>81</v>
      </c>
      <c r="E23" s="6" t="s">
        <v>85</v>
      </c>
      <c r="F23" s="6">
        <v>2013</v>
      </c>
      <c r="G23" s="6">
        <v>2014</v>
      </c>
      <c r="H23" s="6">
        <v>2015</v>
      </c>
      <c r="I23" s="6">
        <v>2016</v>
      </c>
      <c r="J23" s="6">
        <v>2017</v>
      </c>
      <c r="K23" s="6">
        <v>2018</v>
      </c>
      <c r="L23" s="6">
        <v>2019</v>
      </c>
      <c r="M23" s="6">
        <v>2020</v>
      </c>
    </row>
    <row r="24" spans="1:13" ht="72.75" customHeight="1">
      <c r="A24" s="303" t="s">
        <v>82</v>
      </c>
      <c r="B24" s="307" t="s">
        <v>83</v>
      </c>
      <c r="C24" s="11" t="s">
        <v>84</v>
      </c>
      <c r="D24" s="24">
        <v>106168328.41</v>
      </c>
      <c r="E24" s="18">
        <v>106168328.41</v>
      </c>
      <c r="F24" s="18"/>
      <c r="G24" s="18"/>
      <c r="H24" s="19"/>
      <c r="I24" s="19"/>
      <c r="J24" s="19"/>
      <c r="K24" s="19"/>
      <c r="L24" s="19"/>
      <c r="M24" s="19"/>
    </row>
    <row r="25" spans="1:13" ht="21.75" customHeight="1">
      <c r="A25" s="303"/>
      <c r="B25" s="307"/>
      <c r="C25" s="15" t="s">
        <v>86</v>
      </c>
      <c r="D25" s="24">
        <f aca="true" t="shared" si="4" ref="D25:D34">SUM(E25:M25)</f>
        <v>123905475.31</v>
      </c>
      <c r="E25" s="18">
        <v>123905475.31</v>
      </c>
      <c r="F25" s="18"/>
      <c r="G25" s="18"/>
      <c r="H25" s="19"/>
      <c r="I25" s="19"/>
      <c r="J25" s="19"/>
      <c r="K25" s="19"/>
      <c r="L25" s="19"/>
      <c r="M25" s="19"/>
    </row>
    <row r="26" spans="1:13" ht="22.5" customHeight="1">
      <c r="A26" s="303"/>
      <c r="B26" s="307"/>
      <c r="C26" s="15" t="s">
        <v>87</v>
      </c>
      <c r="D26" s="24">
        <f t="shared" si="4"/>
        <v>460000000</v>
      </c>
      <c r="E26" s="18"/>
      <c r="F26" s="18">
        <v>270000000</v>
      </c>
      <c r="G26" s="18">
        <v>99000000</v>
      </c>
      <c r="H26" s="18">
        <v>91000000</v>
      </c>
      <c r="I26" s="22"/>
      <c r="J26" s="19"/>
      <c r="K26" s="19"/>
      <c r="L26" s="19"/>
      <c r="M26" s="19"/>
    </row>
    <row r="27" spans="1:13" ht="24.75" customHeight="1">
      <c r="A27" s="335" t="s">
        <v>88</v>
      </c>
      <c r="B27" s="337" t="s">
        <v>89</v>
      </c>
      <c r="C27" s="15" t="s">
        <v>109</v>
      </c>
      <c r="D27" s="24">
        <f t="shared" si="4"/>
        <v>0</v>
      </c>
      <c r="E27" s="18"/>
      <c r="F27" s="18"/>
      <c r="G27" s="18"/>
      <c r="H27" s="19"/>
      <c r="I27" s="19"/>
      <c r="J27" s="19"/>
      <c r="K27" s="19"/>
      <c r="L27" s="19"/>
      <c r="M27" s="19"/>
    </row>
    <row r="28" spans="1:13" ht="20.25" customHeight="1">
      <c r="A28" s="336"/>
      <c r="B28" s="338"/>
      <c r="C28" s="15" t="s">
        <v>108</v>
      </c>
      <c r="D28" s="24">
        <f t="shared" si="4"/>
        <v>0</v>
      </c>
      <c r="E28" s="18"/>
      <c r="F28" s="18"/>
      <c r="G28" s="18"/>
      <c r="H28" s="18"/>
      <c r="I28" s="18"/>
      <c r="J28" s="19"/>
      <c r="K28" s="19"/>
      <c r="L28" s="19"/>
      <c r="M28" s="19"/>
    </row>
    <row r="29" spans="1:13" ht="26.25" customHeight="1">
      <c r="A29" s="336"/>
      <c r="B29" s="338"/>
      <c r="C29" s="15" t="s">
        <v>132</v>
      </c>
      <c r="D29" s="24">
        <f t="shared" si="4"/>
        <v>135752420.92</v>
      </c>
      <c r="E29" s="18"/>
      <c r="F29" s="18"/>
      <c r="G29" s="29">
        <v>55982438.68</v>
      </c>
      <c r="H29" s="29">
        <v>23787543.56</v>
      </c>
      <c r="I29" s="29">
        <v>55982438.68</v>
      </c>
      <c r="J29" s="19"/>
      <c r="K29" s="19"/>
      <c r="L29" s="19"/>
      <c r="M29" s="19"/>
    </row>
    <row r="30" spans="1:13" ht="24" customHeight="1">
      <c r="A30" s="339"/>
      <c r="B30" s="340"/>
      <c r="C30" s="15" t="s">
        <v>389</v>
      </c>
      <c r="D30" s="24">
        <f t="shared" si="4"/>
        <v>65956557.07999998</v>
      </c>
      <c r="E30" s="18"/>
      <c r="F30" s="18"/>
      <c r="G30" s="18">
        <v>11253887.319999993</v>
      </c>
      <c r="H30" s="29">
        <v>43448782.44</v>
      </c>
      <c r="I30" s="29">
        <v>11253887.319999993</v>
      </c>
      <c r="J30" s="19"/>
      <c r="K30" s="19"/>
      <c r="L30" s="19"/>
      <c r="M30" s="19"/>
    </row>
    <row r="31" spans="1:13" ht="31.5" customHeight="1">
      <c r="A31" s="303" t="s">
        <v>90</v>
      </c>
      <c r="B31" s="308" t="s">
        <v>91</v>
      </c>
      <c r="C31" s="15" t="s">
        <v>108</v>
      </c>
      <c r="D31" s="24">
        <f t="shared" si="4"/>
        <v>0</v>
      </c>
      <c r="E31" s="83"/>
      <c r="F31" s="21"/>
      <c r="G31" s="83"/>
      <c r="H31" s="18"/>
      <c r="I31" s="20"/>
      <c r="J31" s="19"/>
      <c r="K31" s="19"/>
      <c r="L31" s="19"/>
      <c r="M31" s="19"/>
    </row>
    <row r="32" spans="1:13" ht="28.5" customHeight="1">
      <c r="A32" s="303"/>
      <c r="B32" s="308"/>
      <c r="C32" s="15" t="s">
        <v>132</v>
      </c>
      <c r="D32" s="24">
        <f t="shared" si="4"/>
        <v>0</v>
      </c>
      <c r="E32" s="18"/>
      <c r="F32" s="18"/>
      <c r="G32" s="18">
        <v>0</v>
      </c>
      <c r="H32" s="18">
        <v>0</v>
      </c>
      <c r="I32" s="18">
        <v>0</v>
      </c>
      <c r="J32" s="18">
        <v>0</v>
      </c>
      <c r="K32" s="19"/>
      <c r="L32" s="19"/>
      <c r="M32" s="19"/>
    </row>
    <row r="33" spans="1:13" ht="29.25" customHeight="1">
      <c r="A33" s="16" t="s">
        <v>105</v>
      </c>
      <c r="B33" s="7" t="s">
        <v>106</v>
      </c>
      <c r="C33" s="15" t="s">
        <v>389</v>
      </c>
      <c r="D33" s="24">
        <v>0</v>
      </c>
      <c r="E33" s="18"/>
      <c r="F33" s="18"/>
      <c r="G33" s="18">
        <v>0</v>
      </c>
      <c r="H33" s="18">
        <v>0</v>
      </c>
      <c r="I33" s="18">
        <v>0</v>
      </c>
      <c r="J33" s="18">
        <v>0</v>
      </c>
      <c r="K33" s="19"/>
      <c r="L33" s="19"/>
      <c r="M33" s="19"/>
    </row>
    <row r="34" spans="1:13" ht="45" customHeight="1">
      <c r="A34" s="16" t="s">
        <v>405</v>
      </c>
      <c r="B34" s="86" t="s">
        <v>91</v>
      </c>
      <c r="C34" s="15" t="s">
        <v>389</v>
      </c>
      <c r="D34" s="24">
        <f t="shared" si="4"/>
        <v>126235599.95000002</v>
      </c>
      <c r="E34" s="19"/>
      <c r="F34" s="19"/>
      <c r="G34" s="19"/>
      <c r="H34" s="19"/>
      <c r="I34" s="29">
        <v>126235599.95000002</v>
      </c>
      <c r="J34" s="19"/>
      <c r="K34" s="19"/>
      <c r="L34" s="19"/>
      <c r="M34" s="19"/>
    </row>
    <row r="35" spans="1:13" ht="30" customHeight="1">
      <c r="A35" s="304" t="s">
        <v>120</v>
      </c>
      <c r="B35" s="304"/>
      <c r="C35" s="304"/>
      <c r="D35" s="25">
        <f>SUM(E35:M35)</f>
        <v>1018018381.6700001</v>
      </c>
      <c r="E35" s="26">
        <f aca="true" t="shared" si="5" ref="E35:M35">SUM(E24:E34)</f>
        <v>230073803.72</v>
      </c>
      <c r="F35" s="26">
        <f t="shared" si="5"/>
        <v>270000000</v>
      </c>
      <c r="G35" s="26">
        <f t="shared" si="5"/>
        <v>166236326</v>
      </c>
      <c r="H35" s="26">
        <f t="shared" si="5"/>
        <v>158236326</v>
      </c>
      <c r="I35" s="26">
        <f t="shared" si="5"/>
        <v>193471925.95000002</v>
      </c>
      <c r="J35" s="26">
        <f t="shared" si="5"/>
        <v>0</v>
      </c>
      <c r="K35" s="26">
        <f t="shared" si="5"/>
        <v>0</v>
      </c>
      <c r="L35" s="26">
        <f t="shared" si="5"/>
        <v>0</v>
      </c>
      <c r="M35" s="26">
        <f t="shared" si="5"/>
        <v>0</v>
      </c>
    </row>
    <row r="36" spans="1:13" ht="22.5" customHeight="1">
      <c r="A36" s="319" t="s">
        <v>123</v>
      </c>
      <c r="B36" s="320"/>
      <c r="C36" s="320"/>
      <c r="D36" s="321"/>
      <c r="E36" s="322">
        <f>E35+F35+G35</f>
        <v>666310129.72</v>
      </c>
      <c r="F36" s="323"/>
      <c r="G36" s="324"/>
      <c r="H36" s="33">
        <f>E36+H35</f>
        <v>824546455.72</v>
      </c>
      <c r="I36" s="33">
        <f>H36+I35</f>
        <v>1018018381.6700001</v>
      </c>
      <c r="J36" s="33">
        <f>I36+J35</f>
        <v>1018018381.6700001</v>
      </c>
      <c r="K36" s="33">
        <f>J36+K35</f>
        <v>1018018381.6700001</v>
      </c>
      <c r="L36" s="33">
        <f>K36+L35</f>
        <v>1018018381.6700001</v>
      </c>
      <c r="M36" s="33">
        <f>L36+M35</f>
        <v>1018018381.6700001</v>
      </c>
    </row>
    <row r="37" spans="1:13" ht="30.75" customHeight="1">
      <c r="A37" s="319" t="s">
        <v>391</v>
      </c>
      <c r="B37" s="320"/>
      <c r="C37" s="320"/>
      <c r="D37" s="321"/>
      <c r="E37" s="328">
        <v>246981100</v>
      </c>
      <c r="F37" s="329"/>
      <c r="G37" s="330"/>
      <c r="H37" s="47"/>
      <c r="I37" s="47"/>
      <c r="J37" s="47"/>
      <c r="K37" s="47"/>
      <c r="L37" s="47"/>
      <c r="M37" s="47"/>
    </row>
    <row r="38" spans="1:13" ht="21" customHeight="1" hidden="1">
      <c r="A38" s="310" t="s">
        <v>119</v>
      </c>
      <c r="B38" s="311"/>
      <c r="C38" s="311"/>
      <c r="D38" s="312"/>
      <c r="E38" s="34">
        <v>97902582.3</v>
      </c>
      <c r="F38" s="34">
        <v>81865950</v>
      </c>
      <c r="G38" s="34">
        <v>117536400</v>
      </c>
      <c r="H38" s="34">
        <v>181870213</v>
      </c>
      <c r="I38" s="34">
        <f>349743400+((E38+F38+G38-E39)/3)</f>
        <v>366518010.76666665</v>
      </c>
      <c r="J38" s="34">
        <f>300000000+((E38+F38+G38-E39)/3)</f>
        <v>316774610.76666665</v>
      </c>
      <c r="K38" s="34">
        <f>300000000+((E38+F38+G38-E39)/3)</f>
        <v>316774610.76666665</v>
      </c>
      <c r="L38" s="34">
        <v>300000000</v>
      </c>
      <c r="M38" s="34">
        <v>300000000</v>
      </c>
    </row>
    <row r="39" spans="1:13" ht="21" customHeight="1">
      <c r="A39" s="319" t="s">
        <v>119</v>
      </c>
      <c r="B39" s="320"/>
      <c r="C39" s="320"/>
      <c r="D39" s="321"/>
      <c r="E39" s="325">
        <f>E37</f>
        <v>246981100</v>
      </c>
      <c r="F39" s="326"/>
      <c r="G39" s="327"/>
      <c r="H39" s="34">
        <f aca="true" t="shared" si="6" ref="H39:M39">H38</f>
        <v>181870213</v>
      </c>
      <c r="I39" s="34">
        <f t="shared" si="6"/>
        <v>366518010.76666665</v>
      </c>
      <c r="J39" s="34">
        <f t="shared" si="6"/>
        <v>316774610.76666665</v>
      </c>
      <c r="K39" s="34">
        <f t="shared" si="6"/>
        <v>316774610.76666665</v>
      </c>
      <c r="L39" s="34">
        <f t="shared" si="6"/>
        <v>300000000</v>
      </c>
      <c r="M39" s="34">
        <f t="shared" si="6"/>
        <v>300000000</v>
      </c>
    </row>
    <row r="40" spans="1:13" ht="21.75" customHeight="1">
      <c r="A40" s="319" t="s">
        <v>121</v>
      </c>
      <c r="B40" s="320"/>
      <c r="C40" s="320"/>
      <c r="D40" s="321"/>
      <c r="E40" s="316">
        <f>E39</f>
        <v>246981100</v>
      </c>
      <c r="F40" s="317"/>
      <c r="G40" s="318"/>
      <c r="H40" s="35">
        <f>E40+H39</f>
        <v>428851313</v>
      </c>
      <c r="I40" s="35">
        <f>H40+I39</f>
        <v>795369323.7666667</v>
      </c>
      <c r="J40" s="35">
        <f>I40+J39</f>
        <v>1112143934.5333333</v>
      </c>
      <c r="K40" s="35">
        <f>J40+K39</f>
        <v>1428918545.3</v>
      </c>
      <c r="L40" s="35">
        <f>K40+L39</f>
        <v>1728918545.3</v>
      </c>
      <c r="M40" s="35">
        <f>L40+M39</f>
        <v>2028918545.3</v>
      </c>
    </row>
    <row r="41" spans="1:13" ht="26.25" customHeight="1">
      <c r="A41" s="319" t="s">
        <v>122</v>
      </c>
      <c r="B41" s="320"/>
      <c r="C41" s="320"/>
      <c r="D41" s="321"/>
      <c r="E41" s="331">
        <f>E36-E40</f>
        <v>419329029.72</v>
      </c>
      <c r="F41" s="332"/>
      <c r="G41" s="333"/>
      <c r="H41" s="26">
        <f aca="true" t="shared" si="7" ref="H41:M41">H36-H40</f>
        <v>395695142.72</v>
      </c>
      <c r="I41" s="26">
        <f t="shared" si="7"/>
        <v>222649057.90333343</v>
      </c>
      <c r="J41" s="26">
        <f t="shared" si="7"/>
        <v>-94125552.86333323</v>
      </c>
      <c r="K41" s="26">
        <f t="shared" si="7"/>
        <v>-410900163.6299999</v>
      </c>
      <c r="L41" s="26">
        <f t="shared" si="7"/>
        <v>-710900163.6299999</v>
      </c>
      <c r="M41" s="26">
        <f t="shared" si="7"/>
        <v>-1010900163.6299999</v>
      </c>
    </row>
    <row r="42" spans="1:13" ht="30" customHeight="1">
      <c r="A42" s="309" t="s">
        <v>92</v>
      </c>
      <c r="B42" s="309"/>
      <c r="C42" s="309"/>
      <c r="D42" s="313" t="s">
        <v>394</v>
      </c>
      <c r="E42" s="314"/>
      <c r="F42" s="314"/>
      <c r="G42" s="314"/>
      <c r="H42" s="314"/>
      <c r="I42" s="314"/>
      <c r="J42" s="314"/>
      <c r="K42" s="314"/>
      <c r="L42" s="314"/>
      <c r="M42" s="315"/>
    </row>
    <row r="43" spans="1:13" ht="31.5" customHeight="1">
      <c r="A43" s="309"/>
      <c r="B43" s="309"/>
      <c r="C43" s="309"/>
      <c r="D43" s="6" t="s">
        <v>81</v>
      </c>
      <c r="E43" s="6" t="s">
        <v>85</v>
      </c>
      <c r="F43" s="6">
        <v>2013</v>
      </c>
      <c r="G43" s="6">
        <v>2014</v>
      </c>
      <c r="H43" s="6">
        <v>2015</v>
      </c>
      <c r="I43" s="6">
        <v>2016</v>
      </c>
      <c r="J43" s="6">
        <v>2017</v>
      </c>
      <c r="K43" s="6">
        <v>2018</v>
      </c>
      <c r="L43" s="6">
        <v>2019</v>
      </c>
      <c r="M43" s="6">
        <v>2020</v>
      </c>
    </row>
    <row r="44" spans="1:13" ht="72.75" customHeight="1">
      <c r="A44" s="303" t="s">
        <v>82</v>
      </c>
      <c r="B44" s="307" t="s">
        <v>83</v>
      </c>
      <c r="C44" s="11" t="s">
        <v>84</v>
      </c>
      <c r="D44" s="24">
        <f>SUM(E44:M44)</f>
        <v>17637467.88</v>
      </c>
      <c r="E44" s="18">
        <v>17637467.88</v>
      </c>
      <c r="F44" s="18"/>
      <c r="G44" s="18"/>
      <c r="H44" s="19"/>
      <c r="I44" s="19"/>
      <c r="J44" s="19"/>
      <c r="K44" s="19"/>
      <c r="L44" s="19"/>
      <c r="M44" s="19"/>
    </row>
    <row r="45" spans="1:13" ht="21.75" customHeight="1">
      <c r="A45" s="303"/>
      <c r="B45" s="307"/>
      <c r="C45" s="15" t="s">
        <v>86</v>
      </c>
      <c r="D45" s="24">
        <f aca="true" t="shared" si="8" ref="D45:D53">SUM(E45:M45)</f>
        <v>10000000</v>
      </c>
      <c r="E45" s="18">
        <v>10000000</v>
      </c>
      <c r="F45" s="27"/>
      <c r="G45" s="27"/>
      <c r="H45" s="12"/>
      <c r="I45" s="12"/>
      <c r="J45" s="19"/>
      <c r="K45" s="19"/>
      <c r="L45" s="19"/>
      <c r="M45" s="19"/>
    </row>
    <row r="46" spans="1:13" ht="22.5" customHeight="1">
      <c r="A46" s="303"/>
      <c r="B46" s="307"/>
      <c r="C46" s="15" t="s">
        <v>87</v>
      </c>
      <c r="D46" s="24">
        <f t="shared" si="8"/>
        <v>55000000</v>
      </c>
      <c r="E46" s="18"/>
      <c r="F46" s="27">
        <v>40000000</v>
      </c>
      <c r="G46" s="28">
        <v>10000000</v>
      </c>
      <c r="H46" s="28">
        <v>5000000</v>
      </c>
      <c r="I46" s="13"/>
      <c r="J46" s="19"/>
      <c r="K46" s="19"/>
      <c r="L46" s="19"/>
      <c r="M46" s="19"/>
    </row>
    <row r="47" spans="1:13" ht="24.75" customHeight="1">
      <c r="A47" s="341" t="s">
        <v>88</v>
      </c>
      <c r="B47" s="337" t="s">
        <v>89</v>
      </c>
      <c r="C47" s="15" t="s">
        <v>109</v>
      </c>
      <c r="D47" s="24">
        <f t="shared" si="8"/>
        <v>0</v>
      </c>
      <c r="E47" s="18"/>
      <c r="F47" s="27"/>
      <c r="G47" s="27"/>
      <c r="H47" s="12"/>
      <c r="I47" s="12"/>
      <c r="J47" s="19"/>
      <c r="K47" s="19"/>
      <c r="L47" s="19"/>
      <c r="M47" s="19"/>
    </row>
    <row r="48" spans="1:13" ht="20.25" customHeight="1">
      <c r="A48" s="342"/>
      <c r="B48" s="338"/>
      <c r="C48" s="15" t="s">
        <v>108</v>
      </c>
      <c r="D48" s="24">
        <f t="shared" si="8"/>
        <v>11240400</v>
      </c>
      <c r="E48" s="18"/>
      <c r="F48" s="27"/>
      <c r="G48" s="28">
        <v>5620200</v>
      </c>
      <c r="H48" s="28">
        <v>5620200</v>
      </c>
      <c r="I48" s="27"/>
      <c r="J48" s="19"/>
      <c r="K48" s="19"/>
      <c r="L48" s="19"/>
      <c r="M48" s="19"/>
    </row>
    <row r="49" spans="1:13" ht="26.25" customHeight="1">
      <c r="A49" s="343"/>
      <c r="B49" s="340"/>
      <c r="C49" s="15" t="s">
        <v>132</v>
      </c>
      <c r="D49" s="24">
        <f t="shared" si="8"/>
        <v>5620200</v>
      </c>
      <c r="E49" s="18"/>
      <c r="F49" s="27"/>
      <c r="G49" s="28"/>
      <c r="H49" s="28"/>
      <c r="I49" s="28">
        <v>5620200</v>
      </c>
      <c r="J49" s="19"/>
      <c r="K49" s="19"/>
      <c r="L49" s="19"/>
      <c r="M49" s="19"/>
    </row>
    <row r="50" spans="1:13" ht="30.75" customHeight="1">
      <c r="A50" s="303" t="s">
        <v>90</v>
      </c>
      <c r="B50" s="308" t="s">
        <v>91</v>
      </c>
      <c r="C50" s="15" t="s">
        <v>108</v>
      </c>
      <c r="D50" s="24">
        <f t="shared" si="8"/>
        <v>0</v>
      </c>
      <c r="E50" s="18"/>
      <c r="F50" s="5"/>
      <c r="G50" s="27"/>
      <c r="H50" s="27"/>
      <c r="I50" s="13"/>
      <c r="J50" s="19"/>
      <c r="K50" s="19"/>
      <c r="L50" s="19"/>
      <c r="M50" s="19"/>
    </row>
    <row r="51" spans="1:13" ht="29.25" customHeight="1">
      <c r="A51" s="303"/>
      <c r="B51" s="308"/>
      <c r="C51" s="15" t="s">
        <v>132</v>
      </c>
      <c r="D51" s="24">
        <f t="shared" si="8"/>
        <v>26296655.64</v>
      </c>
      <c r="E51" s="18"/>
      <c r="F51" s="18"/>
      <c r="G51" s="29">
        <v>13148327.82</v>
      </c>
      <c r="H51" s="29">
        <v>13148327.82</v>
      </c>
      <c r="I51" s="20"/>
      <c r="J51" s="19"/>
      <c r="K51" s="19"/>
      <c r="L51" s="19"/>
      <c r="M51" s="19"/>
    </row>
    <row r="52" spans="1:13" ht="35.25" customHeight="1">
      <c r="A52" s="16" t="s">
        <v>105</v>
      </c>
      <c r="B52" s="7" t="s">
        <v>106</v>
      </c>
      <c r="C52" s="15" t="s">
        <v>389</v>
      </c>
      <c r="D52" s="24">
        <f t="shared" si="8"/>
        <v>40000000</v>
      </c>
      <c r="E52" s="18"/>
      <c r="F52" s="18"/>
      <c r="G52" s="18"/>
      <c r="H52" s="29">
        <v>12800000</v>
      </c>
      <c r="I52" s="29">
        <v>16000000</v>
      </c>
      <c r="J52" s="29">
        <v>11200000</v>
      </c>
      <c r="K52" s="19"/>
      <c r="L52" s="19"/>
      <c r="M52" s="19"/>
    </row>
    <row r="53" spans="1:13" ht="45" customHeight="1">
      <c r="A53" s="16" t="s">
        <v>405</v>
      </c>
      <c r="B53" s="8" t="s">
        <v>91</v>
      </c>
      <c r="C53" s="15" t="s">
        <v>389</v>
      </c>
      <c r="D53" s="24">
        <f t="shared" si="8"/>
        <v>91745863.9</v>
      </c>
      <c r="E53" s="19"/>
      <c r="F53" s="19"/>
      <c r="G53" s="19"/>
      <c r="H53" s="19"/>
      <c r="I53" s="18">
        <v>91745863.9</v>
      </c>
      <c r="J53" s="19"/>
      <c r="K53" s="19"/>
      <c r="L53" s="19"/>
      <c r="M53" s="19"/>
    </row>
    <row r="54" spans="1:15" ht="30" customHeight="1">
      <c r="A54" s="304" t="s">
        <v>120</v>
      </c>
      <c r="B54" s="304"/>
      <c r="C54" s="304"/>
      <c r="D54" s="25">
        <f>SUM(E54:M54)</f>
        <v>257540587.42</v>
      </c>
      <c r="E54" s="26">
        <f aca="true" t="shared" si="9" ref="E54:M54">SUM(E44:E53)</f>
        <v>27637467.88</v>
      </c>
      <c r="F54" s="26">
        <f t="shared" si="9"/>
        <v>40000000</v>
      </c>
      <c r="G54" s="26">
        <f t="shared" si="9"/>
        <v>28768527.82</v>
      </c>
      <c r="H54" s="26">
        <f t="shared" si="9"/>
        <v>36568527.82</v>
      </c>
      <c r="I54" s="26">
        <f t="shared" si="9"/>
        <v>113366063.9</v>
      </c>
      <c r="J54" s="26">
        <f t="shared" si="9"/>
        <v>11200000</v>
      </c>
      <c r="K54" s="26">
        <f t="shared" si="9"/>
        <v>0</v>
      </c>
      <c r="L54" s="26">
        <f t="shared" si="9"/>
        <v>0</v>
      </c>
      <c r="M54" s="26">
        <f t="shared" si="9"/>
        <v>0</v>
      </c>
      <c r="O54" s="84"/>
    </row>
    <row r="55" spans="1:15" ht="21.75" customHeight="1">
      <c r="A55" s="319" t="s">
        <v>123</v>
      </c>
      <c r="B55" s="320"/>
      <c r="C55" s="320"/>
      <c r="D55" s="321"/>
      <c r="E55" s="322">
        <f>E54+F54+G54</f>
        <v>96405995.69999999</v>
      </c>
      <c r="F55" s="323"/>
      <c r="G55" s="324"/>
      <c r="H55" s="33">
        <f>E55+H54</f>
        <v>132974523.51999998</v>
      </c>
      <c r="I55" s="33">
        <f>H55+I54</f>
        <v>246340587.42</v>
      </c>
      <c r="J55" s="33">
        <f>I55+J54</f>
        <v>257540587.42</v>
      </c>
      <c r="K55" s="33">
        <f>J55+K54</f>
        <v>257540587.42</v>
      </c>
      <c r="L55" s="33">
        <f>K55+L54</f>
        <v>257540587.42</v>
      </c>
      <c r="M55" s="33">
        <f>L55+M54</f>
        <v>257540587.42</v>
      </c>
      <c r="O55" s="84"/>
    </row>
    <row r="56" spans="1:13" ht="27" customHeight="1">
      <c r="A56" s="319" t="s">
        <v>391</v>
      </c>
      <c r="B56" s="320"/>
      <c r="C56" s="320"/>
      <c r="D56" s="321"/>
      <c r="E56" s="346">
        <v>56680630</v>
      </c>
      <c r="F56" s="347"/>
      <c r="G56" s="348"/>
      <c r="H56" s="47"/>
      <c r="I56" s="47"/>
      <c r="J56" s="47"/>
      <c r="K56" s="47"/>
      <c r="L56" s="47"/>
      <c r="M56" s="47"/>
    </row>
    <row r="57" spans="1:13" ht="21.75" customHeight="1" hidden="1">
      <c r="A57" s="310" t="s">
        <v>119</v>
      </c>
      <c r="B57" s="311"/>
      <c r="C57" s="311"/>
      <c r="D57" s="312"/>
      <c r="E57" s="34">
        <v>15704764.72</v>
      </c>
      <c r="F57" s="34">
        <v>30144890</v>
      </c>
      <c r="G57" s="34">
        <v>33627140</v>
      </c>
      <c r="H57" s="34">
        <v>48114945</v>
      </c>
      <c r="I57" s="34">
        <f>106147800+((E57+F57+G57-E58)/3)</f>
        <v>113746521.57333334</v>
      </c>
      <c r="J57" s="34">
        <f>72000000+((E57+F57+G57-E58)/3)</f>
        <v>79598721.57333334</v>
      </c>
      <c r="K57" s="34">
        <f>72000000+((E57+F57+G57-E58)/3)</f>
        <v>79598721.57333334</v>
      </c>
      <c r="L57" s="34">
        <v>62475000</v>
      </c>
      <c r="M57" s="34">
        <v>31050000</v>
      </c>
    </row>
    <row r="58" spans="1:13" ht="21.75" customHeight="1">
      <c r="A58" s="319" t="s">
        <v>119</v>
      </c>
      <c r="B58" s="320"/>
      <c r="C58" s="320"/>
      <c r="D58" s="321"/>
      <c r="E58" s="349">
        <f>E56</f>
        <v>56680630</v>
      </c>
      <c r="F58" s="350"/>
      <c r="G58" s="351"/>
      <c r="H58" s="34">
        <f aca="true" t="shared" si="10" ref="H58:M58">H57</f>
        <v>48114945</v>
      </c>
      <c r="I58" s="34">
        <f t="shared" si="10"/>
        <v>113746521.57333334</v>
      </c>
      <c r="J58" s="34">
        <f t="shared" si="10"/>
        <v>79598721.57333334</v>
      </c>
      <c r="K58" s="34">
        <f t="shared" si="10"/>
        <v>79598721.57333334</v>
      </c>
      <c r="L58" s="34">
        <f t="shared" si="10"/>
        <v>62475000</v>
      </c>
      <c r="M58" s="34">
        <f t="shared" si="10"/>
        <v>31050000</v>
      </c>
    </row>
    <row r="59" spans="1:13" ht="21.75" customHeight="1">
      <c r="A59" s="319" t="s">
        <v>121</v>
      </c>
      <c r="B59" s="320"/>
      <c r="C59" s="320"/>
      <c r="D59" s="321"/>
      <c r="E59" s="316">
        <f>E58</f>
        <v>56680630</v>
      </c>
      <c r="F59" s="317"/>
      <c r="G59" s="318"/>
      <c r="H59" s="35">
        <f>E59+H57</f>
        <v>104795575</v>
      </c>
      <c r="I59" s="35">
        <f>H59+I57</f>
        <v>218542096.57333332</v>
      </c>
      <c r="J59" s="35">
        <f>I59+J57</f>
        <v>298140818.14666665</v>
      </c>
      <c r="K59" s="35">
        <f>J59+K57</f>
        <v>377739539.71999997</v>
      </c>
      <c r="L59" s="35">
        <f>K59+L57</f>
        <v>440214539.71999997</v>
      </c>
      <c r="M59" s="35">
        <f>L59+M57</f>
        <v>471264539.71999997</v>
      </c>
    </row>
    <row r="60" spans="1:13" ht="21.75" customHeight="1">
      <c r="A60" s="319" t="s">
        <v>122</v>
      </c>
      <c r="B60" s="320"/>
      <c r="C60" s="320"/>
      <c r="D60" s="321"/>
      <c r="E60" s="331">
        <f>E55-E59</f>
        <v>39725365.69999999</v>
      </c>
      <c r="F60" s="332"/>
      <c r="G60" s="333"/>
      <c r="H60" s="26">
        <f aca="true" t="shared" si="11" ref="H60:M60">H55-H59</f>
        <v>28178948.51999998</v>
      </c>
      <c r="I60" s="26">
        <f t="shared" si="11"/>
        <v>27798490.846666664</v>
      </c>
      <c r="J60" s="26">
        <f t="shared" si="11"/>
        <v>-40600230.72666666</v>
      </c>
      <c r="K60" s="26">
        <f t="shared" si="11"/>
        <v>-120198952.29999998</v>
      </c>
      <c r="L60" s="26">
        <f t="shared" si="11"/>
        <v>-182673952.29999998</v>
      </c>
      <c r="M60" s="26">
        <f t="shared" si="11"/>
        <v>-213723952.29999998</v>
      </c>
    </row>
    <row r="61" spans="1:13" ht="27" customHeight="1">
      <c r="A61" s="309" t="s">
        <v>112</v>
      </c>
      <c r="B61" s="309"/>
      <c r="C61" s="309"/>
      <c r="D61" s="313" t="s">
        <v>124</v>
      </c>
      <c r="E61" s="314"/>
      <c r="F61" s="314"/>
      <c r="G61" s="314"/>
      <c r="H61" s="314"/>
      <c r="I61" s="314"/>
      <c r="J61" s="314"/>
      <c r="K61" s="314"/>
      <c r="L61" s="314"/>
      <c r="M61" s="315"/>
    </row>
    <row r="62" spans="1:13" ht="24" customHeight="1">
      <c r="A62" s="309"/>
      <c r="B62" s="309"/>
      <c r="C62" s="309"/>
      <c r="D62" s="6" t="s">
        <v>81</v>
      </c>
      <c r="E62" s="6" t="s">
        <v>85</v>
      </c>
      <c r="F62" s="6">
        <v>2013</v>
      </c>
      <c r="G62" s="6">
        <v>2014</v>
      </c>
      <c r="H62" s="6">
        <v>2015</v>
      </c>
      <c r="I62" s="6">
        <v>2016</v>
      </c>
      <c r="J62" s="6">
        <v>2017</v>
      </c>
      <c r="K62" s="6">
        <v>2018</v>
      </c>
      <c r="L62" s="6">
        <v>2019</v>
      </c>
      <c r="M62" s="6">
        <v>2020</v>
      </c>
    </row>
    <row r="63" spans="1:13" ht="72.75" customHeight="1">
      <c r="A63" s="303" t="s">
        <v>82</v>
      </c>
      <c r="B63" s="307" t="s">
        <v>83</v>
      </c>
      <c r="C63" s="11" t="s">
        <v>84</v>
      </c>
      <c r="D63" s="24">
        <f>SUM(E63:M63)</f>
        <v>257738868.6</v>
      </c>
      <c r="E63" s="18">
        <f>E44+E24+E4</f>
        <v>257738868.6</v>
      </c>
      <c r="F63" s="18"/>
      <c r="G63" s="18"/>
      <c r="H63" s="18"/>
      <c r="I63" s="18"/>
      <c r="J63" s="18"/>
      <c r="K63" s="18"/>
      <c r="L63" s="18"/>
      <c r="M63" s="18"/>
    </row>
    <row r="64" spans="1:13" ht="21" customHeight="1">
      <c r="A64" s="303"/>
      <c r="B64" s="307"/>
      <c r="C64" s="15" t="s">
        <v>86</v>
      </c>
      <c r="D64" s="24">
        <f aca="true" t="shared" si="12" ref="D64:D69">SUM(E64:M64)</f>
        <v>344879663</v>
      </c>
      <c r="E64" s="18">
        <v>344879663</v>
      </c>
      <c r="F64" s="18"/>
      <c r="G64" s="18"/>
      <c r="H64" s="18"/>
      <c r="I64" s="18"/>
      <c r="J64" s="18"/>
      <c r="K64" s="18"/>
      <c r="L64" s="18"/>
      <c r="M64" s="18"/>
    </row>
    <row r="65" spans="1:13" ht="21" customHeight="1">
      <c r="A65" s="303"/>
      <c r="B65" s="307"/>
      <c r="C65" s="15" t="s">
        <v>87</v>
      </c>
      <c r="D65" s="24">
        <f t="shared" si="12"/>
        <v>1500000000</v>
      </c>
      <c r="E65" s="18"/>
      <c r="F65" s="18">
        <v>970000000</v>
      </c>
      <c r="G65" s="18">
        <v>276000000</v>
      </c>
      <c r="H65" s="18">
        <v>254000000</v>
      </c>
      <c r="I65" s="18"/>
      <c r="J65" s="18"/>
      <c r="K65" s="18"/>
      <c r="L65" s="18"/>
      <c r="M65" s="18"/>
    </row>
    <row r="66" spans="1:13" ht="21" customHeight="1">
      <c r="A66" s="17" t="s">
        <v>88</v>
      </c>
      <c r="B66" s="305" t="s">
        <v>89</v>
      </c>
      <c r="C66" s="306"/>
      <c r="D66" s="24">
        <f t="shared" si="12"/>
        <v>1130377032</v>
      </c>
      <c r="E66" s="18"/>
      <c r="F66" s="18"/>
      <c r="G66" s="18">
        <f>197200000-9860000</f>
        <v>187340000</v>
      </c>
      <c r="H66" s="18">
        <f>197200000-9438968</f>
        <v>187761032</v>
      </c>
      <c r="I66" s="18">
        <f>197200000-9860000</f>
        <v>187340000</v>
      </c>
      <c r="J66" s="18">
        <f>197200000-(197200000*0.04)</f>
        <v>189312000</v>
      </c>
      <c r="K66" s="18">
        <f>197200000-(197200000*0.04)</f>
        <v>189312000</v>
      </c>
      <c r="L66" s="18">
        <f>197200000-(197200000*0.04)</f>
        <v>189312000</v>
      </c>
      <c r="M66" s="18"/>
    </row>
    <row r="67" spans="1:13" ht="43.5" customHeight="1">
      <c r="A67" s="30" t="s">
        <v>90</v>
      </c>
      <c r="B67" s="344" t="s">
        <v>91</v>
      </c>
      <c r="C67" s="345"/>
      <c r="D67" s="24">
        <f t="shared" si="12"/>
        <v>554342386.8</v>
      </c>
      <c r="E67" s="18"/>
      <c r="F67" s="18"/>
      <c r="G67" s="18">
        <f>300000000-11170402.1</f>
        <v>288829597.9</v>
      </c>
      <c r="H67" s="18">
        <f>300000000-8500000-25987211.1</f>
        <v>265512788.9</v>
      </c>
      <c r="I67" s="18"/>
      <c r="J67" s="18"/>
      <c r="K67" s="18"/>
      <c r="L67" s="18"/>
      <c r="M67" s="18"/>
    </row>
    <row r="68" spans="1:13" ht="20.25" customHeight="1">
      <c r="A68" s="16" t="s">
        <v>105</v>
      </c>
      <c r="B68" s="305" t="s">
        <v>106</v>
      </c>
      <c r="C68" s="306"/>
      <c r="D68" s="24">
        <f t="shared" si="12"/>
        <v>250000000</v>
      </c>
      <c r="E68" s="18"/>
      <c r="F68" s="18"/>
      <c r="H68" s="18">
        <v>80000000</v>
      </c>
      <c r="I68" s="18">
        <v>100000000</v>
      </c>
      <c r="J68" s="18">
        <v>70000000</v>
      </c>
      <c r="K68" s="18"/>
      <c r="L68" s="18"/>
      <c r="M68" s="18"/>
    </row>
    <row r="69" spans="1:15" ht="43.5" customHeight="1">
      <c r="A69" s="16" t="s">
        <v>405</v>
      </c>
      <c r="B69" s="319" t="s">
        <v>91</v>
      </c>
      <c r="C69" s="321"/>
      <c r="D69" s="24">
        <f t="shared" si="12"/>
        <v>4875242495.33</v>
      </c>
      <c r="E69" s="18"/>
      <c r="F69" s="18"/>
      <c r="G69" s="18"/>
      <c r="H69" s="18">
        <f>193866442.33</f>
        <v>193866442.33</v>
      </c>
      <c r="I69" s="18">
        <f>900000000-761000-13974947-(900000000*0.04)-(197200000*0.04)</f>
        <v>841376053</v>
      </c>
      <c r="J69" s="18">
        <f>1100000000-(1100000000*0.04)</f>
        <v>1056000000</v>
      </c>
      <c r="K69" s="18">
        <f>967000000-(967000000*0.04)</f>
        <v>928320000</v>
      </c>
      <c r="L69" s="18">
        <f>967000000-(967000000*0.04)</f>
        <v>928320000</v>
      </c>
      <c r="M69" s="18">
        <f>966000000-(966000000*0.04)</f>
        <v>927360000</v>
      </c>
      <c r="O69" s="21"/>
    </row>
    <row r="70" spans="1:15" ht="21.75" customHeight="1">
      <c r="A70" s="304" t="s">
        <v>81</v>
      </c>
      <c r="B70" s="304"/>
      <c r="C70" s="304"/>
      <c r="D70" s="26">
        <f>SUM(E70:M70)</f>
        <v>8912580445.73</v>
      </c>
      <c r="E70" s="23">
        <f aca="true" t="shared" si="13" ref="E70:M70">SUM(E63:E69)</f>
        <v>602618531.6</v>
      </c>
      <c r="F70" s="23">
        <f t="shared" si="13"/>
        <v>970000000</v>
      </c>
      <c r="G70" s="23">
        <f t="shared" si="13"/>
        <v>752169597.9</v>
      </c>
      <c r="H70" s="23">
        <f t="shared" si="13"/>
        <v>981140263.23</v>
      </c>
      <c r="I70" s="23">
        <f t="shared" si="13"/>
        <v>1128716053</v>
      </c>
      <c r="J70" s="23">
        <f t="shared" si="13"/>
        <v>1315312000</v>
      </c>
      <c r="K70" s="23">
        <f t="shared" si="13"/>
        <v>1117632000</v>
      </c>
      <c r="L70" s="23">
        <f t="shared" si="13"/>
        <v>1117632000</v>
      </c>
      <c r="M70" s="23">
        <f t="shared" si="13"/>
        <v>927360000</v>
      </c>
      <c r="O70" s="21"/>
    </row>
    <row r="71" ht="7.5" customHeight="1"/>
    <row r="72" spans="1:13" ht="45" customHeight="1">
      <c r="A72" s="309" t="s">
        <v>112</v>
      </c>
      <c r="B72" s="309"/>
      <c r="C72" s="309"/>
      <c r="D72" s="313" t="s">
        <v>402</v>
      </c>
      <c r="E72" s="314"/>
      <c r="F72" s="314"/>
      <c r="G72" s="314"/>
      <c r="H72" s="314"/>
      <c r="I72" s="314"/>
      <c r="J72" s="314"/>
      <c r="K72" s="314"/>
      <c r="L72" s="314"/>
      <c r="M72" s="315"/>
    </row>
    <row r="73" spans="1:13" ht="22.5" customHeight="1">
      <c r="A73" s="309"/>
      <c r="B73" s="309"/>
      <c r="C73" s="309"/>
      <c r="D73" s="6" t="s">
        <v>81</v>
      </c>
      <c r="E73" s="6" t="s">
        <v>85</v>
      </c>
      <c r="F73" s="6">
        <v>2013</v>
      </c>
      <c r="G73" s="6">
        <v>2014</v>
      </c>
      <c r="H73" s="6">
        <v>2015</v>
      </c>
      <c r="I73" s="6">
        <v>2016</v>
      </c>
      <c r="J73" s="6">
        <v>2017</v>
      </c>
      <c r="K73" s="6">
        <v>2018</v>
      </c>
      <c r="L73" s="6">
        <v>2019</v>
      </c>
      <c r="M73" s="6">
        <v>2020</v>
      </c>
    </row>
    <row r="74" spans="1:13" ht="66" customHeight="1">
      <c r="A74" s="303" t="s">
        <v>82</v>
      </c>
      <c r="B74" s="307" t="s">
        <v>83</v>
      </c>
      <c r="C74" s="11" t="s">
        <v>84</v>
      </c>
      <c r="D74" s="24">
        <f>SUM(E74:M74)</f>
        <v>0</v>
      </c>
      <c r="E74" s="18">
        <f>E63-E44-E24-E4</f>
        <v>0</v>
      </c>
      <c r="F74" s="18"/>
      <c r="G74" s="18"/>
      <c r="H74" s="18"/>
      <c r="I74" s="18"/>
      <c r="J74" s="18"/>
      <c r="K74" s="18"/>
      <c r="L74" s="18"/>
      <c r="M74" s="18"/>
    </row>
    <row r="75" spans="1:13" ht="15" customHeight="1">
      <c r="A75" s="303"/>
      <c r="B75" s="307"/>
      <c r="C75" s="15" t="s">
        <v>86</v>
      </c>
      <c r="D75" s="24">
        <f aca="true" t="shared" si="14" ref="D75:D80">SUM(E75:M75)</f>
        <v>0</v>
      </c>
      <c r="E75" s="18">
        <f>E64-E45-E25-E5</f>
        <v>0</v>
      </c>
      <c r="F75" s="18"/>
      <c r="G75" s="18"/>
      <c r="H75" s="18"/>
      <c r="I75" s="18"/>
      <c r="J75" s="18"/>
      <c r="K75" s="18"/>
      <c r="L75" s="18"/>
      <c r="M75" s="18"/>
    </row>
    <row r="76" spans="1:13" ht="16.5" customHeight="1">
      <c r="A76" s="303"/>
      <c r="B76" s="307"/>
      <c r="C76" s="15" t="s">
        <v>87</v>
      </c>
      <c r="D76" s="24">
        <f t="shared" si="14"/>
        <v>0</v>
      </c>
      <c r="E76" s="18"/>
      <c r="F76" s="18">
        <f>F65-F46-F26-F6</f>
        <v>0</v>
      </c>
      <c r="G76" s="18">
        <f>G65-G46-G26-G6</f>
        <v>0</v>
      </c>
      <c r="H76" s="18">
        <f>H65-H46-H26-H6</f>
        <v>0</v>
      </c>
      <c r="I76" s="18"/>
      <c r="J76" s="18"/>
      <c r="K76" s="18"/>
      <c r="L76" s="18"/>
      <c r="M76" s="18"/>
    </row>
    <row r="77" spans="1:13" ht="26.25" customHeight="1">
      <c r="A77" s="17" t="s">
        <v>88</v>
      </c>
      <c r="B77" s="305" t="s">
        <v>89</v>
      </c>
      <c r="C77" s="306"/>
      <c r="D77" s="24">
        <f t="shared" si="14"/>
        <v>568357032</v>
      </c>
      <c r="E77" s="18"/>
      <c r="F77" s="18"/>
      <c r="G77" s="18">
        <f>G66-G49-G48-G47-G30-G29-G28-G27-G9-G8-G7</f>
        <v>0</v>
      </c>
      <c r="H77" s="18">
        <f>H66-H49-H48-H47-H30-H29-H28-H27-H9-H8-H7</f>
        <v>421032</v>
      </c>
      <c r="I77" s="18">
        <f>I66-I49-I48-I47-I30-I29-I28-I27-I9-I8-I7</f>
        <v>0</v>
      </c>
      <c r="J77" s="88">
        <f>J66</f>
        <v>189312000</v>
      </c>
      <c r="K77" s="18">
        <f>K66</f>
        <v>189312000</v>
      </c>
      <c r="L77" s="18">
        <f>L66</f>
        <v>189312000</v>
      </c>
      <c r="M77" s="18"/>
    </row>
    <row r="78" spans="1:13" ht="43.5" customHeight="1">
      <c r="A78" s="30" t="s">
        <v>90</v>
      </c>
      <c r="B78" s="344" t="s">
        <v>91</v>
      </c>
      <c r="C78" s="345"/>
      <c r="D78" s="24">
        <f t="shared" si="14"/>
        <v>5512788.900000021</v>
      </c>
      <c r="E78" s="18"/>
      <c r="F78" s="18"/>
      <c r="G78" s="18">
        <f>G67-G51-G50-G32-G31-G11-G10-G12</f>
        <v>0</v>
      </c>
      <c r="H78" s="18">
        <f>H67-H51-H50-H32-H31-H11-H10-H12</f>
        <v>5512788.900000021</v>
      </c>
      <c r="I78" s="18"/>
      <c r="J78" s="18"/>
      <c r="K78" s="18"/>
      <c r="L78" s="18"/>
      <c r="M78" s="18"/>
    </row>
    <row r="79" spans="1:13" ht="24.75" customHeight="1">
      <c r="A79" s="16" t="s">
        <v>105</v>
      </c>
      <c r="B79" s="305" t="s">
        <v>106</v>
      </c>
      <c r="C79" s="306"/>
      <c r="D79" s="24">
        <f t="shared" si="14"/>
        <v>0</v>
      </c>
      <c r="E79" s="18"/>
      <c r="F79" s="18"/>
      <c r="G79" s="18"/>
      <c r="H79" s="18">
        <v>0</v>
      </c>
      <c r="I79" s="18">
        <v>0</v>
      </c>
      <c r="J79" s="18">
        <v>0</v>
      </c>
      <c r="K79" s="18"/>
      <c r="L79" s="18"/>
      <c r="M79" s="18"/>
    </row>
    <row r="80" spans="1:13" ht="42.75" customHeight="1">
      <c r="A80" s="16" t="s">
        <v>405</v>
      </c>
      <c r="B80" s="319" t="s">
        <v>91</v>
      </c>
      <c r="C80" s="321"/>
      <c r="D80" s="24">
        <f t="shared" si="14"/>
        <v>4175610145.24</v>
      </c>
      <c r="E80" s="18"/>
      <c r="F80" s="18"/>
      <c r="G80" s="18"/>
      <c r="H80" s="18">
        <f aca="true" t="shared" si="15" ref="H80:M80">H69-H14-H34-H53</f>
        <v>3866442.330000013</v>
      </c>
      <c r="I80" s="88">
        <f t="shared" si="15"/>
        <v>331743702.90999997</v>
      </c>
      <c r="J80" s="88">
        <f t="shared" si="15"/>
        <v>1056000000</v>
      </c>
      <c r="K80" s="18">
        <f t="shared" si="15"/>
        <v>928320000</v>
      </c>
      <c r="L80" s="18">
        <f t="shared" si="15"/>
        <v>928320000</v>
      </c>
      <c r="M80" s="18">
        <f t="shared" si="15"/>
        <v>927360000</v>
      </c>
    </row>
    <row r="81" spans="1:13" ht="24.75" customHeight="1">
      <c r="A81" s="304" t="s">
        <v>81</v>
      </c>
      <c r="B81" s="304"/>
      <c r="C81" s="304"/>
      <c r="D81" s="26">
        <f>SUM(E81:M81)</f>
        <v>4749479966.139999</v>
      </c>
      <c r="E81" s="23">
        <f aca="true" t="shared" si="16" ref="E81:M81">SUM(E74:E80)</f>
        <v>0</v>
      </c>
      <c r="F81" s="23">
        <f t="shared" si="16"/>
        <v>0</v>
      </c>
      <c r="G81" s="23">
        <f t="shared" si="16"/>
        <v>0</v>
      </c>
      <c r="H81" s="23">
        <f t="shared" si="16"/>
        <v>9800263.230000034</v>
      </c>
      <c r="I81" s="23">
        <f t="shared" si="16"/>
        <v>331743702.90999997</v>
      </c>
      <c r="J81" s="23">
        <f t="shared" si="16"/>
        <v>1245312000</v>
      </c>
      <c r="K81" s="23">
        <f t="shared" si="16"/>
        <v>1117632000</v>
      </c>
      <c r="L81" s="23">
        <f t="shared" si="16"/>
        <v>1117632000</v>
      </c>
      <c r="M81" s="23">
        <f t="shared" si="16"/>
        <v>927360000</v>
      </c>
    </row>
    <row r="83" spans="8:10" ht="13.5">
      <c r="H83" s="87"/>
      <c r="I83" s="87"/>
      <c r="J83" s="55"/>
    </row>
    <row r="84" ht="13.5">
      <c r="H84" s="87"/>
    </row>
    <row r="85" spans="8:10" ht="13.5">
      <c r="H85" s="87"/>
      <c r="I85" s="55"/>
      <c r="J85" s="55"/>
    </row>
    <row r="87" spans="6:9" ht="13.5">
      <c r="F87" s="55">
        <v>9860000</v>
      </c>
      <c r="G87" s="55">
        <v>9860000</v>
      </c>
      <c r="H87" s="55">
        <v>9438968</v>
      </c>
      <c r="I87" s="55">
        <f>SUM(F87:H87)</f>
        <v>29158968</v>
      </c>
    </row>
    <row r="88" ht="13.5">
      <c r="G88" s="115"/>
    </row>
    <row r="89" ht="13.5">
      <c r="H89" s="55"/>
    </row>
    <row r="91" spans="8:9" ht="13.5">
      <c r="H91" s="55"/>
      <c r="I91" s="55"/>
    </row>
  </sheetData>
  <sheetProtection/>
  <mergeCells count="79">
    <mergeCell ref="A55:D55"/>
    <mergeCell ref="A58:D58"/>
    <mergeCell ref="B68:C68"/>
    <mergeCell ref="E55:G55"/>
    <mergeCell ref="A59:D59"/>
    <mergeCell ref="A60:D60"/>
    <mergeCell ref="A56:D56"/>
    <mergeCell ref="E56:G56"/>
    <mergeCell ref="E58:G58"/>
    <mergeCell ref="D72:M72"/>
    <mergeCell ref="A72:C73"/>
    <mergeCell ref="A70:C70"/>
    <mergeCell ref="B67:C67"/>
    <mergeCell ref="B69:C69"/>
    <mergeCell ref="E60:G60"/>
    <mergeCell ref="B78:C78"/>
    <mergeCell ref="A81:C81"/>
    <mergeCell ref="A74:A76"/>
    <mergeCell ref="B74:B76"/>
    <mergeCell ref="B79:C79"/>
    <mergeCell ref="B80:C80"/>
    <mergeCell ref="B77:C77"/>
    <mergeCell ref="A47:A49"/>
    <mergeCell ref="A38:D38"/>
    <mergeCell ref="D42:M42"/>
    <mergeCell ref="A44:A46"/>
    <mergeCell ref="B47:B49"/>
    <mergeCell ref="B44:B46"/>
    <mergeCell ref="E40:G40"/>
    <mergeCell ref="A42:C43"/>
    <mergeCell ref="E41:G41"/>
    <mergeCell ref="A40:D40"/>
    <mergeCell ref="A20:D20"/>
    <mergeCell ref="A24:A26"/>
    <mergeCell ref="B24:B26"/>
    <mergeCell ref="A37:D37"/>
    <mergeCell ref="E39:G39"/>
    <mergeCell ref="A39:D39"/>
    <mergeCell ref="E36:G36"/>
    <mergeCell ref="E37:G37"/>
    <mergeCell ref="A36:D36"/>
    <mergeCell ref="A19:D19"/>
    <mergeCell ref="A35:C35"/>
    <mergeCell ref="A10:A12"/>
    <mergeCell ref="A27:A30"/>
    <mergeCell ref="A31:A32"/>
    <mergeCell ref="B31:B32"/>
    <mergeCell ref="B27:B30"/>
    <mergeCell ref="B10:B12"/>
    <mergeCell ref="A22:C23"/>
    <mergeCell ref="A18:D18"/>
    <mergeCell ref="A1:M1"/>
    <mergeCell ref="A15:C15"/>
    <mergeCell ref="D2:M2"/>
    <mergeCell ref="A7:A9"/>
    <mergeCell ref="B7:B9"/>
    <mergeCell ref="A2:C3"/>
    <mergeCell ref="B4:B6"/>
    <mergeCell ref="A4:A6"/>
    <mergeCell ref="A41:D41"/>
    <mergeCell ref="D22:M22"/>
    <mergeCell ref="E16:G16"/>
    <mergeCell ref="E20:G20"/>
    <mergeCell ref="A21:D21"/>
    <mergeCell ref="A16:D16"/>
    <mergeCell ref="A17:D17"/>
    <mergeCell ref="E19:G19"/>
    <mergeCell ref="E17:G17"/>
    <mergeCell ref="E21:G21"/>
    <mergeCell ref="A50:A51"/>
    <mergeCell ref="A54:C54"/>
    <mergeCell ref="B66:C66"/>
    <mergeCell ref="A63:A65"/>
    <mergeCell ref="B63:B65"/>
    <mergeCell ref="B50:B51"/>
    <mergeCell ref="A61:C62"/>
    <mergeCell ref="A57:D57"/>
    <mergeCell ref="D61:M61"/>
    <mergeCell ref="E59:G59"/>
  </mergeCells>
  <conditionalFormatting sqref="E21 H21:M21">
    <cfRule type="cellIs" priority="13" dxfId="9" operator="lessThan" stopIfTrue="1">
      <formula>0</formula>
    </cfRule>
  </conditionalFormatting>
  <conditionalFormatting sqref="E41 H41:M41">
    <cfRule type="cellIs" priority="11" dxfId="9" operator="lessThan" stopIfTrue="1">
      <formula>0</formula>
    </cfRule>
  </conditionalFormatting>
  <conditionalFormatting sqref="E60 H60:M60">
    <cfRule type="cellIs" priority="9" dxfId="9" operator="lessThan" stopIfTrue="1">
      <formula>0</formula>
    </cfRule>
  </conditionalFormatting>
  <printOptions horizontalCentered="1" verticalCentered="1"/>
  <pageMargins left="0.35433070866141736" right="0.2362204724409449" top="0.35433070866141736" bottom="0.4724409448818898" header="0.2755905511811024" footer="0.31496062992125984"/>
  <pageSetup fitToHeight="10" horizontalDpi="600" verticalDpi="600" orientation="landscape" paperSize="9" scale="52" r:id="rId3"/>
  <rowBreaks count="3" manualBreakCount="3">
    <brk id="21" max="12" man="1"/>
    <brk id="41" max="12" man="1"/>
    <brk id="60" max="12" man="1"/>
  </rowBreaks>
  <ignoredErrors>
    <ignoredError sqref="F35:G35 F70:G70 F54:M54 H35:I35 H70:L70 K35:M35" formulaRange="1"/>
    <ignoredError sqref="H66" formula="1"/>
  </ignoredErrors>
  <legacyDrawing r:id="rId2"/>
</worksheet>
</file>

<file path=xl/worksheets/sheet7.xml><?xml version="1.0" encoding="utf-8"?>
<worksheet xmlns="http://schemas.openxmlformats.org/spreadsheetml/2006/main" xmlns:r="http://schemas.openxmlformats.org/officeDocument/2006/relationships">
  <sheetPr>
    <tabColor theme="0" tint="-0.3499799966812134"/>
  </sheetPr>
  <dimension ref="A1:O96"/>
  <sheetViews>
    <sheetView zoomScalePageLayoutView="0" workbookViewId="0" topLeftCell="A19">
      <selection activeCell="B29" sqref="B29:B31"/>
    </sheetView>
  </sheetViews>
  <sheetFormatPr defaultColWidth="11.421875" defaultRowHeight="15"/>
  <cols>
    <col min="1" max="1" width="13.421875" style="5" customWidth="1"/>
    <col min="2" max="2" width="11.8515625" style="5" customWidth="1"/>
    <col min="3" max="3" width="19.8515625" style="9" customWidth="1"/>
    <col min="4" max="4" width="17.00390625" style="9" customWidth="1"/>
    <col min="5" max="7" width="16.8515625" style="10" customWidth="1"/>
    <col min="8" max="9" width="16.8515625" style="5" customWidth="1"/>
    <col min="10" max="10" width="17.8515625" style="5" customWidth="1"/>
    <col min="11" max="13" width="16.8515625" style="5" customWidth="1"/>
    <col min="14" max="14" width="11.421875" style="5" customWidth="1"/>
    <col min="15" max="15" width="14.8515625" style="5" bestFit="1" customWidth="1"/>
    <col min="16" max="16384" width="11.421875" style="5" customWidth="1"/>
  </cols>
  <sheetData>
    <row r="1" spans="1:13" ht="58.5" customHeight="1">
      <c r="A1" s="334" t="s">
        <v>406</v>
      </c>
      <c r="B1" s="334"/>
      <c r="C1" s="334"/>
      <c r="D1" s="334"/>
      <c r="E1" s="334"/>
      <c r="F1" s="334"/>
      <c r="G1" s="334"/>
      <c r="H1" s="334"/>
      <c r="I1" s="334"/>
      <c r="J1" s="334"/>
      <c r="K1" s="334"/>
      <c r="L1" s="334"/>
      <c r="M1" s="334"/>
    </row>
    <row r="2" spans="1:13" ht="33" customHeight="1">
      <c r="A2" s="309" t="s">
        <v>92</v>
      </c>
      <c r="B2" s="309"/>
      <c r="C2" s="309"/>
      <c r="D2" s="313" t="s">
        <v>392</v>
      </c>
      <c r="E2" s="314"/>
      <c r="F2" s="314"/>
      <c r="G2" s="314"/>
      <c r="H2" s="314"/>
      <c r="I2" s="314"/>
      <c r="J2" s="314"/>
      <c r="K2" s="314"/>
      <c r="L2" s="314"/>
      <c r="M2" s="315"/>
    </row>
    <row r="3" spans="1:13" ht="31.5" customHeight="1">
      <c r="A3" s="309"/>
      <c r="B3" s="309"/>
      <c r="C3" s="309"/>
      <c r="D3" s="6" t="s">
        <v>81</v>
      </c>
      <c r="E3" s="6" t="s">
        <v>85</v>
      </c>
      <c r="F3" s="6">
        <v>2013</v>
      </c>
      <c r="G3" s="6">
        <v>2014</v>
      </c>
      <c r="H3" s="6">
        <v>2015</v>
      </c>
      <c r="I3" s="6">
        <v>2016</v>
      </c>
      <c r="J3" s="6">
        <v>2017</v>
      </c>
      <c r="K3" s="6">
        <v>2018</v>
      </c>
      <c r="L3" s="6">
        <v>2019</v>
      </c>
      <c r="M3" s="6">
        <v>2020</v>
      </c>
    </row>
    <row r="4" spans="1:13" ht="72.75" customHeight="1">
      <c r="A4" s="303" t="s">
        <v>82</v>
      </c>
      <c r="B4" s="307" t="s">
        <v>83</v>
      </c>
      <c r="C4" s="11" t="s">
        <v>84</v>
      </c>
      <c r="D4" s="24">
        <f>SUM(E4:M4)</f>
        <v>133933072.31</v>
      </c>
      <c r="E4" s="18">
        <v>133933072.31</v>
      </c>
      <c r="F4" s="18"/>
      <c r="G4" s="18"/>
      <c r="H4" s="19"/>
      <c r="I4" s="19"/>
      <c r="J4" s="19"/>
      <c r="K4" s="19"/>
      <c r="L4" s="19"/>
      <c r="M4" s="19"/>
    </row>
    <row r="5" spans="1:13" ht="21.75" customHeight="1">
      <c r="A5" s="303"/>
      <c r="B5" s="307"/>
      <c r="C5" s="15" t="s">
        <v>86</v>
      </c>
      <c r="D5" s="24">
        <f aca="true" t="shared" si="0" ref="D5:D19">SUM(E5:M5)</f>
        <v>210974187.69</v>
      </c>
      <c r="E5" s="18">
        <v>210974187.69</v>
      </c>
      <c r="F5" s="18"/>
      <c r="G5" s="18"/>
      <c r="H5" s="19"/>
      <c r="I5" s="19"/>
      <c r="J5" s="19"/>
      <c r="K5" s="19"/>
      <c r="L5" s="19"/>
      <c r="M5" s="19"/>
    </row>
    <row r="6" spans="1:13" ht="22.5" customHeight="1">
      <c r="A6" s="303"/>
      <c r="B6" s="307"/>
      <c r="C6" s="15" t="s">
        <v>87</v>
      </c>
      <c r="D6" s="24">
        <f t="shared" si="0"/>
        <v>985000000</v>
      </c>
      <c r="E6" s="18"/>
      <c r="F6" s="18">
        <v>660000000</v>
      </c>
      <c r="G6" s="18">
        <v>167000000</v>
      </c>
      <c r="H6" s="18">
        <v>158000000</v>
      </c>
      <c r="I6" s="20"/>
      <c r="J6" s="19"/>
      <c r="K6" s="19"/>
      <c r="L6" s="19"/>
      <c r="M6" s="19"/>
    </row>
    <row r="7" spans="1:13" ht="24.75" customHeight="1">
      <c r="A7" s="352" t="s">
        <v>88</v>
      </c>
      <c r="B7" s="308" t="s">
        <v>89</v>
      </c>
      <c r="C7" s="15" t="s">
        <v>109</v>
      </c>
      <c r="D7" s="24">
        <f t="shared" si="0"/>
        <v>114483474</v>
      </c>
      <c r="E7" s="18"/>
      <c r="F7" s="18"/>
      <c r="G7" s="18">
        <v>114483474</v>
      </c>
      <c r="H7" s="19"/>
      <c r="I7" s="19"/>
      <c r="J7" s="19"/>
      <c r="K7" s="19"/>
      <c r="L7" s="19"/>
      <c r="M7" s="19"/>
    </row>
    <row r="8" spans="1:13" ht="20.25" customHeight="1">
      <c r="A8" s="353"/>
      <c r="B8" s="308"/>
      <c r="C8" s="15" t="s">
        <v>108</v>
      </c>
      <c r="D8" s="24">
        <f t="shared" si="0"/>
        <v>228966948</v>
      </c>
      <c r="E8" s="18"/>
      <c r="F8" s="18"/>
      <c r="G8" s="18"/>
      <c r="H8" s="18">
        <v>114483474</v>
      </c>
      <c r="I8" s="18">
        <v>114483474</v>
      </c>
      <c r="J8" s="19"/>
      <c r="K8" s="19"/>
      <c r="L8" s="19"/>
      <c r="M8" s="19"/>
    </row>
    <row r="9" spans="1:13" ht="27.75" customHeight="1">
      <c r="A9" s="353"/>
      <c r="B9" s="308"/>
      <c r="C9" s="15" t="s">
        <v>132</v>
      </c>
      <c r="D9" s="24">
        <f t="shared" si="0"/>
        <v>0</v>
      </c>
      <c r="E9" s="18"/>
      <c r="F9" s="18"/>
      <c r="G9" s="18"/>
      <c r="H9" s="18"/>
      <c r="I9" s="18"/>
      <c r="J9" s="19"/>
      <c r="K9" s="19"/>
      <c r="L9" s="19"/>
      <c r="M9" s="19"/>
    </row>
    <row r="10" spans="1:13" ht="27" customHeight="1">
      <c r="A10" s="353"/>
      <c r="B10" s="308"/>
      <c r="C10" s="171" t="s">
        <v>431</v>
      </c>
      <c r="D10" s="24">
        <f t="shared" si="0"/>
        <v>114483474</v>
      </c>
      <c r="E10" s="18"/>
      <c r="F10" s="18"/>
      <c r="G10" s="18"/>
      <c r="H10" s="18">
        <v>421032</v>
      </c>
      <c r="I10" s="18"/>
      <c r="J10" s="101">
        <f>114483474-H10</f>
        <v>114062442</v>
      </c>
      <c r="K10" s="22"/>
      <c r="L10" s="19"/>
      <c r="M10" s="19"/>
    </row>
    <row r="11" spans="1:13" ht="27" customHeight="1">
      <c r="A11" s="354"/>
      <c r="B11" s="308"/>
      <c r="C11" s="186" t="s">
        <v>423</v>
      </c>
      <c r="D11" s="24">
        <f t="shared" si="0"/>
        <v>114483474</v>
      </c>
      <c r="E11" s="83"/>
      <c r="F11" s="18"/>
      <c r="G11" s="83"/>
      <c r="H11" s="83"/>
      <c r="I11" s="83"/>
      <c r="J11" s="179"/>
      <c r="K11" s="88">
        <v>114483474</v>
      </c>
      <c r="L11" s="91"/>
      <c r="M11" s="19"/>
    </row>
    <row r="12" spans="1:13" ht="28.5" customHeight="1">
      <c r="A12" s="335" t="s">
        <v>90</v>
      </c>
      <c r="B12" s="337" t="s">
        <v>91</v>
      </c>
      <c r="C12" s="171" t="s">
        <v>108</v>
      </c>
      <c r="D12" s="24">
        <f t="shared" si="0"/>
        <v>142525129</v>
      </c>
      <c r="E12" s="83"/>
      <c r="F12" s="21"/>
      <c r="G12" s="83">
        <v>142525129</v>
      </c>
      <c r="H12" s="83"/>
      <c r="I12" s="90"/>
      <c r="J12" s="91"/>
      <c r="K12" s="91"/>
      <c r="L12" s="91"/>
      <c r="M12" s="19"/>
    </row>
    <row r="13" spans="1:13" ht="25.5" customHeight="1">
      <c r="A13" s="336"/>
      <c r="B13" s="338"/>
      <c r="C13" s="171" t="s">
        <v>132</v>
      </c>
      <c r="D13" s="24">
        <f t="shared" si="0"/>
        <v>269114280.65</v>
      </c>
      <c r="E13" s="18"/>
      <c r="F13" s="18"/>
      <c r="G13" s="18">
        <f>205819704.83-G12</f>
        <v>63294575.83000001</v>
      </c>
      <c r="H13" s="18">
        <v>205819704.82</v>
      </c>
      <c r="I13" s="20"/>
      <c r="J13" s="19"/>
      <c r="K13" s="19"/>
      <c r="L13" s="19"/>
      <c r="M13" s="19"/>
    </row>
    <row r="14" spans="1:13" ht="26.25" customHeight="1">
      <c r="A14" s="336"/>
      <c r="B14" s="338"/>
      <c r="C14" s="171" t="s">
        <v>389</v>
      </c>
      <c r="D14" s="24">
        <f t="shared" si="0"/>
        <v>110893532.61</v>
      </c>
      <c r="E14" s="18"/>
      <c r="F14" s="18"/>
      <c r="G14" s="18">
        <v>69861565.25</v>
      </c>
      <c r="H14" s="18">
        <v>41031967.36</v>
      </c>
      <c r="I14" s="20"/>
      <c r="J14" s="19"/>
      <c r="K14" s="19"/>
      <c r="L14" s="19"/>
      <c r="M14" s="19"/>
    </row>
    <row r="15" spans="1:13" ht="28.5" customHeight="1">
      <c r="A15" s="339"/>
      <c r="B15" s="340"/>
      <c r="C15" s="171" t="s">
        <v>431</v>
      </c>
      <c r="D15" s="24">
        <f t="shared" si="0"/>
        <v>5512789</v>
      </c>
      <c r="E15" s="18"/>
      <c r="F15" s="18"/>
      <c r="G15" s="18"/>
      <c r="H15" s="18">
        <v>5512789</v>
      </c>
      <c r="I15" s="20"/>
      <c r="J15" s="19"/>
      <c r="K15" s="19"/>
      <c r="L15" s="19"/>
      <c r="M15" s="19"/>
    </row>
    <row r="16" spans="1:13" ht="29.25" customHeight="1">
      <c r="A16" s="16" t="s">
        <v>105</v>
      </c>
      <c r="B16" s="7" t="s">
        <v>106</v>
      </c>
      <c r="C16" s="171" t="s">
        <v>389</v>
      </c>
      <c r="D16" s="24">
        <f t="shared" si="0"/>
        <v>210000000</v>
      </c>
      <c r="E16" s="18"/>
      <c r="F16" s="18"/>
      <c r="G16" s="18"/>
      <c r="H16" s="18">
        <v>67200000</v>
      </c>
      <c r="I16" s="18">
        <v>84000000</v>
      </c>
      <c r="J16" s="18">
        <v>58800000</v>
      </c>
      <c r="K16" s="19"/>
      <c r="L16" s="19"/>
      <c r="M16" s="19"/>
    </row>
    <row r="17" spans="1:13" ht="33" customHeight="1">
      <c r="A17" s="352" t="s">
        <v>405</v>
      </c>
      <c r="B17" s="304" t="s">
        <v>91</v>
      </c>
      <c r="C17" s="171" t="s">
        <v>389</v>
      </c>
      <c r="D17" s="24">
        <f t="shared" si="0"/>
        <v>481650886.24</v>
      </c>
      <c r="E17" s="19"/>
      <c r="F17" s="19"/>
      <c r="G17" s="19"/>
      <c r="H17" s="18">
        <v>190000000</v>
      </c>
      <c r="I17" s="18">
        <v>291650886.24</v>
      </c>
      <c r="J17" s="19"/>
      <c r="K17" s="19"/>
      <c r="L17" s="19"/>
      <c r="M17" s="19"/>
    </row>
    <row r="18" spans="1:13" ht="31.5" customHeight="1">
      <c r="A18" s="353"/>
      <c r="B18" s="304"/>
      <c r="C18" s="171" t="s">
        <v>431</v>
      </c>
      <c r="D18" s="24">
        <f t="shared" si="0"/>
        <v>586548446</v>
      </c>
      <c r="E18" s="19"/>
      <c r="F18" s="19"/>
      <c r="G18" s="19"/>
      <c r="H18" s="18">
        <v>3866442</v>
      </c>
      <c r="I18" s="18">
        <v>150000000</v>
      </c>
      <c r="J18" s="101">
        <v>432682004</v>
      </c>
      <c r="K18" s="101"/>
      <c r="L18" s="19"/>
      <c r="M18" s="19"/>
    </row>
    <row r="19" spans="1:13" ht="31.5" customHeight="1">
      <c r="A19" s="354"/>
      <c r="B19" s="304"/>
      <c r="C19" s="186" t="s">
        <v>423</v>
      </c>
      <c r="D19" s="24">
        <f t="shared" si="0"/>
        <v>626763238.722213</v>
      </c>
      <c r="E19" s="19"/>
      <c r="F19" s="19"/>
      <c r="G19" s="19"/>
      <c r="H19" s="18"/>
      <c r="I19" s="88">
        <v>177653472.90999997</v>
      </c>
      <c r="J19" s="89">
        <v>102048582.98048928</v>
      </c>
      <c r="K19" s="89">
        <v>347061182.8317238</v>
      </c>
      <c r="L19" s="84"/>
      <c r="M19" s="19"/>
    </row>
    <row r="20" spans="1:13" ht="32.25" customHeight="1">
      <c r="A20" s="304" t="s">
        <v>120</v>
      </c>
      <c r="B20" s="304"/>
      <c r="C20" s="304"/>
      <c r="D20" s="25">
        <f>SUM(E20:M20)</f>
        <v>4335332932.222214</v>
      </c>
      <c r="E20" s="26">
        <f>SUM(E4:E18)</f>
        <v>344907260</v>
      </c>
      <c r="F20" s="26">
        <f>SUM(F4:F18)</f>
        <v>660000000</v>
      </c>
      <c r="G20" s="26">
        <f>SUM(G4:G18)</f>
        <v>557164744.08</v>
      </c>
      <c r="H20" s="26">
        <f>SUM(H4:H18)</f>
        <v>786335409.1800001</v>
      </c>
      <c r="I20" s="26">
        <f>SUM(I4:I19)</f>
        <v>817787833.15</v>
      </c>
      <c r="J20" s="26">
        <f>SUM(J4:J19)</f>
        <v>707593028.9804893</v>
      </c>
      <c r="K20" s="26">
        <f>SUM(K4:K19)</f>
        <v>461544656.8317238</v>
      </c>
      <c r="L20" s="26">
        <f>SUM(L4:L19)</f>
        <v>0</v>
      </c>
      <c r="M20" s="26">
        <f>SUM(M4:M19)</f>
        <v>0</v>
      </c>
    </row>
    <row r="21" spans="1:13" ht="23.25" customHeight="1">
      <c r="A21" s="319" t="s">
        <v>123</v>
      </c>
      <c r="B21" s="320"/>
      <c r="C21" s="320"/>
      <c r="D21" s="321"/>
      <c r="E21" s="322">
        <f>E20+F20+G20</f>
        <v>1562072004.08</v>
      </c>
      <c r="F21" s="323"/>
      <c r="G21" s="324"/>
      <c r="H21" s="33">
        <f>E21+H20</f>
        <v>2348407413.26</v>
      </c>
      <c r="I21" s="33">
        <f>H21+I20</f>
        <v>3166195246.4100003</v>
      </c>
      <c r="J21" s="33">
        <f>I21+J20</f>
        <v>3873788275.3904896</v>
      </c>
      <c r="K21" s="33">
        <f>J21+K20</f>
        <v>4335332932.222214</v>
      </c>
      <c r="L21" s="33">
        <f>K21+L20</f>
        <v>4335332932.222214</v>
      </c>
      <c r="M21" s="33">
        <f>L21+M20</f>
        <v>4335332932.222214</v>
      </c>
    </row>
    <row r="22" spans="1:13" ht="30.75" customHeight="1">
      <c r="A22" s="319" t="s">
        <v>424</v>
      </c>
      <c r="B22" s="320"/>
      <c r="C22" s="320"/>
      <c r="D22" s="321"/>
      <c r="E22" s="346">
        <v>1208119600</v>
      </c>
      <c r="F22" s="347"/>
      <c r="G22" s="348"/>
      <c r="H22" s="182">
        <v>711104398.9999969</v>
      </c>
      <c r="I22" s="47"/>
      <c r="J22" s="47"/>
      <c r="K22" s="47"/>
      <c r="L22" s="47"/>
      <c r="M22" s="47"/>
    </row>
    <row r="23" spans="1:13" ht="24.75" customHeight="1" hidden="1">
      <c r="A23" s="310" t="s">
        <v>119</v>
      </c>
      <c r="B23" s="311"/>
      <c r="C23" s="311"/>
      <c r="D23" s="312"/>
      <c r="E23" s="34">
        <f>37300746+61443817+41141793+79548893</f>
        <v>219435249</v>
      </c>
      <c r="F23" s="34">
        <f>423882647</f>
        <v>423882647</v>
      </c>
      <c r="G23" s="34">
        <v>837641488</v>
      </c>
      <c r="H23" s="34">
        <v>711104398.9999969</v>
      </c>
      <c r="I23" s="34">
        <f>845626165.9+50000000</f>
        <v>895626165.9</v>
      </c>
      <c r="J23" s="34">
        <f>I23+55947420</f>
        <v>951573585.9</v>
      </c>
      <c r="K23" s="34">
        <f>J23+55947420</f>
        <v>1007521005.9</v>
      </c>
      <c r="L23" s="34">
        <f>K23</f>
        <v>1007521005.9</v>
      </c>
      <c r="M23" s="34">
        <f>L23</f>
        <v>1007521005.9</v>
      </c>
    </row>
    <row r="24" spans="1:13" ht="23.25" customHeight="1">
      <c r="A24" s="364" t="s">
        <v>119</v>
      </c>
      <c r="B24" s="365"/>
      <c r="C24" s="365"/>
      <c r="D24" s="366"/>
      <c r="E24" s="325">
        <f>E22</f>
        <v>1208119600</v>
      </c>
      <c r="F24" s="326"/>
      <c r="G24" s="327"/>
      <c r="H24" s="101">
        <f aca="true" t="shared" si="1" ref="H24:M24">H23</f>
        <v>711104398.9999969</v>
      </c>
      <c r="I24" s="34">
        <f t="shared" si="1"/>
        <v>895626165.9</v>
      </c>
      <c r="J24" s="34">
        <f t="shared" si="1"/>
        <v>951573585.9</v>
      </c>
      <c r="K24" s="34">
        <f t="shared" si="1"/>
        <v>1007521005.9</v>
      </c>
      <c r="L24" s="34">
        <f t="shared" si="1"/>
        <v>1007521005.9</v>
      </c>
      <c r="M24" s="34">
        <f t="shared" si="1"/>
        <v>1007521005.9</v>
      </c>
    </row>
    <row r="25" spans="1:13" ht="23.25" customHeight="1">
      <c r="A25" s="319" t="s">
        <v>121</v>
      </c>
      <c r="B25" s="320"/>
      <c r="C25" s="320"/>
      <c r="D25" s="321"/>
      <c r="E25" s="316">
        <f>E24</f>
        <v>1208119600</v>
      </c>
      <c r="F25" s="317"/>
      <c r="G25" s="318"/>
      <c r="H25" s="35">
        <f>E25+H24</f>
        <v>1919223998.999997</v>
      </c>
      <c r="I25" s="35">
        <f>H25+I24</f>
        <v>2814850164.8999968</v>
      </c>
      <c r="J25" s="35">
        <f>I25+J24</f>
        <v>3766423750.799997</v>
      </c>
      <c r="K25" s="35">
        <f>J25+K24</f>
        <v>4773944756.699997</v>
      </c>
      <c r="L25" s="35">
        <f>K25+L24</f>
        <v>5781465762.599997</v>
      </c>
      <c r="M25" s="35">
        <f>L25+M24</f>
        <v>6788986768.499996</v>
      </c>
    </row>
    <row r="26" spans="1:13" ht="23.25" customHeight="1">
      <c r="A26" s="319" t="s">
        <v>122</v>
      </c>
      <c r="B26" s="320"/>
      <c r="C26" s="320"/>
      <c r="D26" s="321"/>
      <c r="E26" s="331">
        <f>E21-E25</f>
        <v>353952404.0799999</v>
      </c>
      <c r="F26" s="332"/>
      <c r="G26" s="333"/>
      <c r="H26" s="26">
        <f aca="true" t="shared" si="2" ref="H26:M26">H21-H25</f>
        <v>429183414.2600033</v>
      </c>
      <c r="I26" s="26">
        <f t="shared" si="2"/>
        <v>351345081.51000357</v>
      </c>
      <c r="J26" s="26">
        <f t="shared" si="2"/>
        <v>107364524.59049273</v>
      </c>
      <c r="K26" s="26">
        <f t="shared" si="2"/>
        <v>-438611824.4777832</v>
      </c>
      <c r="L26" s="26">
        <f t="shared" si="2"/>
        <v>-1446132830.3777828</v>
      </c>
      <c r="M26" s="26">
        <f t="shared" si="2"/>
        <v>-2453653836.2777824</v>
      </c>
    </row>
    <row r="27" spans="1:13" ht="35.25" customHeight="1">
      <c r="A27" s="309" t="s">
        <v>92</v>
      </c>
      <c r="B27" s="309"/>
      <c r="C27" s="309"/>
      <c r="D27" s="313" t="s">
        <v>393</v>
      </c>
      <c r="E27" s="314"/>
      <c r="F27" s="314"/>
      <c r="G27" s="314"/>
      <c r="H27" s="314"/>
      <c r="I27" s="314"/>
      <c r="J27" s="314"/>
      <c r="K27" s="314"/>
      <c r="L27" s="314"/>
      <c r="M27" s="315"/>
    </row>
    <row r="28" spans="1:13" ht="31.5" customHeight="1">
      <c r="A28" s="309"/>
      <c r="B28" s="309"/>
      <c r="C28" s="309"/>
      <c r="D28" s="6" t="s">
        <v>81</v>
      </c>
      <c r="E28" s="6" t="s">
        <v>85</v>
      </c>
      <c r="F28" s="6">
        <v>2013</v>
      </c>
      <c r="G28" s="6">
        <v>2014</v>
      </c>
      <c r="H28" s="6">
        <v>2015</v>
      </c>
      <c r="I28" s="6">
        <v>2016</v>
      </c>
      <c r="J28" s="6">
        <v>2017</v>
      </c>
      <c r="K28" s="6">
        <v>2018</v>
      </c>
      <c r="L28" s="6">
        <v>2019</v>
      </c>
      <c r="M28" s="6">
        <v>2020</v>
      </c>
    </row>
    <row r="29" spans="1:13" ht="72.75" customHeight="1">
      <c r="A29" s="303" t="s">
        <v>82</v>
      </c>
      <c r="B29" s="307" t="s">
        <v>83</v>
      </c>
      <c r="C29" s="11" t="s">
        <v>84</v>
      </c>
      <c r="D29" s="24">
        <v>106168328.41</v>
      </c>
      <c r="E29" s="18">
        <v>106168328.41</v>
      </c>
      <c r="F29" s="18"/>
      <c r="G29" s="18"/>
      <c r="H29" s="19"/>
      <c r="I29" s="19"/>
      <c r="J29" s="19"/>
      <c r="K29" s="19"/>
      <c r="L29" s="19"/>
      <c r="M29" s="19"/>
    </row>
    <row r="30" spans="1:13" ht="21.75" customHeight="1">
      <c r="A30" s="303"/>
      <c r="B30" s="307"/>
      <c r="C30" s="15" t="s">
        <v>86</v>
      </c>
      <c r="D30" s="24">
        <f aca="true" t="shared" si="3" ref="D30:D42">SUM(E30:M30)</f>
        <v>123905475.31</v>
      </c>
      <c r="E30" s="18">
        <v>123905475.31</v>
      </c>
      <c r="F30" s="18"/>
      <c r="G30" s="18"/>
      <c r="H30" s="19"/>
      <c r="I30" s="19"/>
      <c r="J30" s="19"/>
      <c r="K30" s="19"/>
      <c r="L30" s="19"/>
      <c r="M30" s="19"/>
    </row>
    <row r="31" spans="1:13" ht="22.5" customHeight="1">
      <c r="A31" s="303"/>
      <c r="B31" s="307"/>
      <c r="C31" s="15" t="s">
        <v>87</v>
      </c>
      <c r="D31" s="24">
        <f t="shared" si="3"/>
        <v>460000000</v>
      </c>
      <c r="E31" s="18"/>
      <c r="F31" s="18">
        <v>270000000</v>
      </c>
      <c r="G31" s="18">
        <v>99000000</v>
      </c>
      <c r="H31" s="18">
        <v>91000000</v>
      </c>
      <c r="I31" s="22"/>
      <c r="J31" s="19"/>
      <c r="K31" s="19"/>
      <c r="L31" s="19"/>
      <c r="M31" s="19"/>
    </row>
    <row r="32" spans="1:13" ht="24.75" customHeight="1">
      <c r="A32" s="352" t="s">
        <v>88</v>
      </c>
      <c r="B32" s="308" t="s">
        <v>89</v>
      </c>
      <c r="C32" s="15" t="s">
        <v>109</v>
      </c>
      <c r="D32" s="24">
        <f t="shared" si="3"/>
        <v>0</v>
      </c>
      <c r="E32" s="18"/>
      <c r="F32" s="18"/>
      <c r="G32" s="18"/>
      <c r="H32" s="19"/>
      <c r="I32" s="19"/>
      <c r="J32" s="19"/>
      <c r="K32" s="19"/>
      <c r="L32" s="19"/>
      <c r="M32" s="19"/>
    </row>
    <row r="33" spans="1:13" ht="20.25" customHeight="1">
      <c r="A33" s="353"/>
      <c r="B33" s="308"/>
      <c r="C33" s="15" t="s">
        <v>108</v>
      </c>
      <c r="D33" s="24">
        <f t="shared" si="3"/>
        <v>0</v>
      </c>
      <c r="E33" s="18"/>
      <c r="F33" s="18"/>
      <c r="G33" s="18"/>
      <c r="H33" s="18"/>
      <c r="I33" s="18"/>
      <c r="J33" s="19"/>
      <c r="K33" s="19"/>
      <c r="L33" s="19"/>
      <c r="M33" s="19"/>
    </row>
    <row r="34" spans="1:13" ht="26.25" customHeight="1">
      <c r="A34" s="353"/>
      <c r="B34" s="308"/>
      <c r="C34" s="15" t="s">
        <v>132</v>
      </c>
      <c r="D34" s="24">
        <f t="shared" si="3"/>
        <v>135752420.92</v>
      </c>
      <c r="E34" s="18"/>
      <c r="F34" s="18"/>
      <c r="G34" s="29">
        <v>55982438.68</v>
      </c>
      <c r="H34" s="29">
        <v>23787543.56</v>
      </c>
      <c r="I34" s="29">
        <v>55982438.68</v>
      </c>
      <c r="J34" s="19"/>
      <c r="K34" s="19"/>
      <c r="L34" s="19"/>
      <c r="M34" s="19"/>
    </row>
    <row r="35" spans="1:13" ht="24" customHeight="1">
      <c r="A35" s="353"/>
      <c r="B35" s="308"/>
      <c r="C35" s="15" t="s">
        <v>389</v>
      </c>
      <c r="D35" s="24">
        <f t="shared" si="3"/>
        <v>65956557.07999998</v>
      </c>
      <c r="E35" s="18"/>
      <c r="F35" s="18"/>
      <c r="G35" s="18">
        <v>11253887.319999993</v>
      </c>
      <c r="H35" s="29">
        <v>43448782.44</v>
      </c>
      <c r="I35" s="29">
        <v>11253887.319999993</v>
      </c>
      <c r="J35" s="19"/>
      <c r="K35" s="19"/>
      <c r="L35" s="19"/>
      <c r="M35" s="19"/>
    </row>
    <row r="36" spans="1:13" ht="28.5" customHeight="1">
      <c r="A36" s="353"/>
      <c r="B36" s="308"/>
      <c r="C36" s="171" t="s">
        <v>431</v>
      </c>
      <c r="D36" s="24">
        <f t="shared" si="3"/>
        <v>67236326</v>
      </c>
      <c r="E36" s="83"/>
      <c r="F36" s="18"/>
      <c r="G36" s="83"/>
      <c r="H36" s="29"/>
      <c r="I36" s="29"/>
      <c r="J36" s="29">
        <v>67236326</v>
      </c>
      <c r="K36" s="18"/>
      <c r="L36" s="19"/>
      <c r="M36" s="19"/>
    </row>
    <row r="37" spans="1:13" ht="28.5" customHeight="1">
      <c r="A37" s="354"/>
      <c r="B37" s="308"/>
      <c r="C37" s="186" t="s">
        <v>423</v>
      </c>
      <c r="D37" s="24">
        <f t="shared" si="3"/>
        <v>67236326</v>
      </c>
      <c r="E37" s="83"/>
      <c r="F37" s="87"/>
      <c r="G37" s="83"/>
      <c r="H37" s="29"/>
      <c r="I37" s="29"/>
      <c r="J37" s="29"/>
      <c r="K37" s="114">
        <v>67236326</v>
      </c>
      <c r="L37" s="19"/>
      <c r="M37" s="19"/>
    </row>
    <row r="38" spans="1:13" ht="31.5" customHeight="1">
      <c r="A38" s="303" t="s">
        <v>90</v>
      </c>
      <c r="B38" s="308" t="s">
        <v>91</v>
      </c>
      <c r="C38" s="171" t="s">
        <v>108</v>
      </c>
      <c r="D38" s="24">
        <f t="shared" si="3"/>
        <v>0</v>
      </c>
      <c r="E38" s="83"/>
      <c r="F38" s="19"/>
      <c r="G38" s="83"/>
      <c r="H38" s="18"/>
      <c r="I38" s="20"/>
      <c r="J38" s="176"/>
      <c r="K38" s="19"/>
      <c r="L38" s="19"/>
      <c r="M38" s="19"/>
    </row>
    <row r="39" spans="1:13" ht="28.5" customHeight="1">
      <c r="A39" s="303"/>
      <c r="B39" s="308"/>
      <c r="C39" s="171" t="s">
        <v>132</v>
      </c>
      <c r="D39" s="24">
        <f t="shared" si="3"/>
        <v>0</v>
      </c>
      <c r="E39" s="18"/>
      <c r="F39" s="18"/>
      <c r="G39" s="18"/>
      <c r="H39" s="19"/>
      <c r="I39" s="20"/>
      <c r="J39" s="176"/>
      <c r="K39" s="19"/>
      <c r="L39" s="19"/>
      <c r="M39" s="19"/>
    </row>
    <row r="40" spans="1:13" ht="29.25" customHeight="1">
      <c r="A40" s="16" t="s">
        <v>105</v>
      </c>
      <c r="B40" s="7" t="s">
        <v>106</v>
      </c>
      <c r="C40" s="171" t="s">
        <v>389</v>
      </c>
      <c r="D40" s="24">
        <f t="shared" si="3"/>
        <v>0</v>
      </c>
      <c r="E40" s="18"/>
      <c r="F40" s="18"/>
      <c r="G40" s="18"/>
      <c r="H40" s="19"/>
      <c r="I40" s="20"/>
      <c r="J40" s="176"/>
      <c r="K40" s="19"/>
      <c r="L40" s="19"/>
      <c r="M40" s="19"/>
    </row>
    <row r="41" spans="1:13" ht="31.5" customHeight="1">
      <c r="A41" s="352" t="s">
        <v>405</v>
      </c>
      <c r="B41" s="304" t="s">
        <v>91</v>
      </c>
      <c r="C41" s="171" t="s">
        <v>389</v>
      </c>
      <c r="D41" s="24">
        <f t="shared" si="3"/>
        <v>126235599.95000002</v>
      </c>
      <c r="E41" s="19"/>
      <c r="F41" s="19"/>
      <c r="G41" s="19"/>
      <c r="H41" s="19"/>
      <c r="I41" s="29">
        <v>126235599.95000002</v>
      </c>
      <c r="J41" s="176"/>
      <c r="K41" s="19"/>
      <c r="L41" s="19"/>
      <c r="M41" s="19"/>
    </row>
    <row r="42" spans="1:13" ht="31.5" customHeight="1">
      <c r="A42" s="353"/>
      <c r="B42" s="304"/>
      <c r="C42" s="171" t="s">
        <v>431</v>
      </c>
      <c r="D42" s="24">
        <f t="shared" si="3"/>
        <v>273946829</v>
      </c>
      <c r="E42" s="19"/>
      <c r="F42" s="19"/>
      <c r="G42" s="19"/>
      <c r="H42" s="19"/>
      <c r="I42" s="12"/>
      <c r="J42" s="18">
        <v>273946829</v>
      </c>
      <c r="K42" s="12"/>
      <c r="L42" s="19"/>
      <c r="M42" s="19"/>
    </row>
    <row r="43" spans="1:13" ht="31.5" customHeight="1">
      <c r="A43" s="354"/>
      <c r="B43" s="304"/>
      <c r="C43" s="186" t="s">
        <v>423</v>
      </c>
      <c r="D43" s="24"/>
      <c r="E43" s="19"/>
      <c r="F43" s="19"/>
      <c r="G43" s="19"/>
      <c r="H43" s="19"/>
      <c r="J43" s="18"/>
      <c r="K43" s="181">
        <v>100436170.0818327</v>
      </c>
      <c r="L43" s="12"/>
      <c r="M43" s="19"/>
    </row>
    <row r="44" spans="1:13" ht="30" customHeight="1">
      <c r="A44" s="304" t="s">
        <v>120</v>
      </c>
      <c r="B44" s="304"/>
      <c r="C44" s="304"/>
      <c r="D44" s="25">
        <f>SUM(E44:M44)</f>
        <v>1526874032.7518327</v>
      </c>
      <c r="E44" s="26">
        <f>SUM(E29:E41)</f>
        <v>230073803.72</v>
      </c>
      <c r="F44" s="26">
        <f>SUM(F29:F41)</f>
        <v>270000000</v>
      </c>
      <c r="G44" s="26">
        <f aca="true" t="shared" si="4" ref="G44:M44">SUM(G29:G43)</f>
        <v>166236326</v>
      </c>
      <c r="H44" s="26">
        <f t="shared" si="4"/>
        <v>158236326</v>
      </c>
      <c r="I44" s="26">
        <f t="shared" si="4"/>
        <v>193471925.95000002</v>
      </c>
      <c r="J44" s="26">
        <f t="shared" si="4"/>
        <v>341183155</v>
      </c>
      <c r="K44" s="26">
        <f t="shared" si="4"/>
        <v>167672496.0818327</v>
      </c>
      <c r="L44" s="26">
        <f t="shared" si="4"/>
        <v>0</v>
      </c>
      <c r="M44" s="26">
        <f t="shared" si="4"/>
        <v>0</v>
      </c>
    </row>
    <row r="45" spans="1:13" ht="22.5" customHeight="1">
      <c r="A45" s="319" t="s">
        <v>123</v>
      </c>
      <c r="B45" s="320"/>
      <c r="C45" s="320"/>
      <c r="D45" s="321"/>
      <c r="E45" s="322">
        <f>E44+F44+G44</f>
        <v>666310129.72</v>
      </c>
      <c r="F45" s="323"/>
      <c r="G45" s="324"/>
      <c r="H45" s="33">
        <f>E45+H44</f>
        <v>824546455.72</v>
      </c>
      <c r="I45" s="33">
        <f>H45+I44</f>
        <v>1018018381.6700001</v>
      </c>
      <c r="J45" s="33">
        <f>I45+J44</f>
        <v>1359201536.67</v>
      </c>
      <c r="K45" s="33">
        <f>J45+K44</f>
        <v>1526874032.7518327</v>
      </c>
      <c r="L45" s="33">
        <f>K45+L44</f>
        <v>1526874032.7518327</v>
      </c>
      <c r="M45" s="33">
        <f>L45+M44</f>
        <v>1526874032.7518327</v>
      </c>
    </row>
    <row r="46" spans="1:13" ht="30.75" customHeight="1">
      <c r="A46" s="319" t="s">
        <v>424</v>
      </c>
      <c r="B46" s="320"/>
      <c r="C46" s="320"/>
      <c r="D46" s="321"/>
      <c r="E46" s="328">
        <v>246981100</v>
      </c>
      <c r="F46" s="329"/>
      <c r="G46" s="330"/>
      <c r="H46" s="182">
        <v>125887116.62999952</v>
      </c>
      <c r="I46" s="47"/>
      <c r="J46" s="47"/>
      <c r="K46" s="47"/>
      <c r="L46" s="47"/>
      <c r="M46" s="47"/>
    </row>
    <row r="47" spans="1:13" ht="21" customHeight="1" hidden="1">
      <c r="A47" s="310" t="s">
        <v>119</v>
      </c>
      <c r="B47" s="311"/>
      <c r="C47" s="311"/>
      <c r="D47" s="312"/>
      <c r="E47" s="34">
        <v>97902582.3</v>
      </c>
      <c r="F47" s="34">
        <v>81865950</v>
      </c>
      <c r="G47" s="34">
        <v>117536400</v>
      </c>
      <c r="H47" s="34">
        <v>125887116.62999952</v>
      </c>
      <c r="I47" s="34">
        <f>349743400+((E47+F47+G47-E48)/3)</f>
        <v>366518010.76666665</v>
      </c>
      <c r="J47" s="34">
        <f>300000000+((E47+F47+G47-E48)/3)</f>
        <v>316774610.76666665</v>
      </c>
      <c r="K47" s="34">
        <f>300000000+((E47+F47+G47-E48)/3)</f>
        <v>316774610.76666665</v>
      </c>
      <c r="L47" s="34">
        <v>300000000</v>
      </c>
      <c r="M47" s="34">
        <v>300000000</v>
      </c>
    </row>
    <row r="48" spans="1:13" ht="21" customHeight="1">
      <c r="A48" s="319" t="s">
        <v>119</v>
      </c>
      <c r="B48" s="320"/>
      <c r="C48" s="320"/>
      <c r="D48" s="321"/>
      <c r="E48" s="325">
        <f>E46</f>
        <v>246981100</v>
      </c>
      <c r="F48" s="326"/>
      <c r="G48" s="327"/>
      <c r="H48" s="101">
        <f aca="true" t="shared" si="5" ref="H48:M48">H47</f>
        <v>125887116.62999952</v>
      </c>
      <c r="I48" s="34">
        <f t="shared" si="5"/>
        <v>366518010.76666665</v>
      </c>
      <c r="J48" s="34">
        <f t="shared" si="5"/>
        <v>316774610.76666665</v>
      </c>
      <c r="K48" s="34">
        <f t="shared" si="5"/>
        <v>316774610.76666665</v>
      </c>
      <c r="L48" s="34">
        <f t="shared" si="5"/>
        <v>300000000</v>
      </c>
      <c r="M48" s="34">
        <f t="shared" si="5"/>
        <v>300000000</v>
      </c>
    </row>
    <row r="49" spans="1:13" ht="21.75" customHeight="1">
      <c r="A49" s="319" t="s">
        <v>121</v>
      </c>
      <c r="B49" s="320"/>
      <c r="C49" s="320"/>
      <c r="D49" s="321"/>
      <c r="E49" s="316">
        <f>E48</f>
        <v>246981100</v>
      </c>
      <c r="F49" s="317"/>
      <c r="G49" s="318"/>
      <c r="H49" s="35">
        <f>E49+H48</f>
        <v>372868216.6299995</v>
      </c>
      <c r="I49" s="35">
        <f>H49+I48</f>
        <v>739386227.3966662</v>
      </c>
      <c r="J49" s="35">
        <f>I49+J48</f>
        <v>1056160838.1633328</v>
      </c>
      <c r="K49" s="35">
        <f>J49+K48</f>
        <v>1372935448.9299994</v>
      </c>
      <c r="L49" s="35">
        <f>K49+L48</f>
        <v>1672935448.9299994</v>
      </c>
      <c r="M49" s="35">
        <f>L49+M48</f>
        <v>1972935448.9299994</v>
      </c>
    </row>
    <row r="50" spans="1:13" ht="26.25" customHeight="1">
      <c r="A50" s="319" t="s">
        <v>122</v>
      </c>
      <c r="B50" s="320"/>
      <c r="C50" s="320"/>
      <c r="D50" s="321"/>
      <c r="E50" s="331">
        <f>E45-E49</f>
        <v>419329029.72</v>
      </c>
      <c r="F50" s="332"/>
      <c r="G50" s="333"/>
      <c r="H50" s="26">
        <f aca="true" t="shared" si="6" ref="H50:M50">H45-H49</f>
        <v>451678239.0900005</v>
      </c>
      <c r="I50" s="26">
        <f t="shared" si="6"/>
        <v>278632154.2733339</v>
      </c>
      <c r="J50" s="26">
        <f t="shared" si="6"/>
        <v>303040698.50666726</v>
      </c>
      <c r="K50" s="26">
        <f t="shared" si="6"/>
        <v>153938583.82183337</v>
      </c>
      <c r="L50" s="26">
        <f t="shared" si="6"/>
        <v>-146061416.17816663</v>
      </c>
      <c r="M50" s="26">
        <f t="shared" si="6"/>
        <v>-446061416.1781666</v>
      </c>
    </row>
    <row r="51" spans="1:13" ht="30" customHeight="1">
      <c r="A51" s="309" t="s">
        <v>92</v>
      </c>
      <c r="B51" s="309"/>
      <c r="C51" s="309"/>
      <c r="D51" s="313" t="s">
        <v>394</v>
      </c>
      <c r="E51" s="314"/>
      <c r="F51" s="314"/>
      <c r="G51" s="314"/>
      <c r="H51" s="314"/>
      <c r="I51" s="314"/>
      <c r="J51" s="314"/>
      <c r="K51" s="314"/>
      <c r="L51" s="314"/>
      <c r="M51" s="315"/>
    </row>
    <row r="52" spans="1:13" ht="31.5" customHeight="1">
      <c r="A52" s="309"/>
      <c r="B52" s="309"/>
      <c r="C52" s="309"/>
      <c r="D52" s="6" t="s">
        <v>81</v>
      </c>
      <c r="E52" s="6" t="s">
        <v>85</v>
      </c>
      <c r="F52" s="6">
        <v>2013</v>
      </c>
      <c r="G52" s="6">
        <v>2014</v>
      </c>
      <c r="H52" s="6">
        <v>2015</v>
      </c>
      <c r="I52" s="6">
        <v>2016</v>
      </c>
      <c r="J52" s="6">
        <v>2017</v>
      </c>
      <c r="K52" s="6">
        <v>2018</v>
      </c>
      <c r="L52" s="6">
        <v>2019</v>
      </c>
      <c r="M52" s="6">
        <v>2020</v>
      </c>
    </row>
    <row r="53" spans="1:13" ht="72.75" customHeight="1">
      <c r="A53" s="303" t="s">
        <v>82</v>
      </c>
      <c r="B53" s="307" t="s">
        <v>83</v>
      </c>
      <c r="C53" s="11" t="s">
        <v>84</v>
      </c>
      <c r="D53" s="24">
        <f>SUM(E53:M53)</f>
        <v>17637467.88</v>
      </c>
      <c r="E53" s="18">
        <v>17637467.88</v>
      </c>
      <c r="F53" s="18"/>
      <c r="G53" s="18"/>
      <c r="H53" s="19"/>
      <c r="I53" s="19"/>
      <c r="J53" s="19"/>
      <c r="K53" s="19"/>
      <c r="L53" s="19"/>
      <c r="M53" s="19"/>
    </row>
    <row r="54" spans="1:13" ht="21.75" customHeight="1">
      <c r="A54" s="303"/>
      <c r="B54" s="307"/>
      <c r="C54" s="15" t="s">
        <v>86</v>
      </c>
      <c r="D54" s="24">
        <f aca="true" t="shared" si="7" ref="D54:D64">SUM(E54:M54)</f>
        <v>10000000</v>
      </c>
      <c r="E54" s="18">
        <v>10000000</v>
      </c>
      <c r="F54" s="27"/>
      <c r="G54" s="27"/>
      <c r="H54" s="12"/>
      <c r="I54" s="12"/>
      <c r="J54" s="19"/>
      <c r="K54" s="19"/>
      <c r="L54" s="19"/>
      <c r="M54" s="19"/>
    </row>
    <row r="55" spans="1:13" ht="22.5" customHeight="1">
      <c r="A55" s="303"/>
      <c r="B55" s="307"/>
      <c r="C55" s="15" t="s">
        <v>87</v>
      </c>
      <c r="D55" s="24">
        <f t="shared" si="7"/>
        <v>55000000</v>
      </c>
      <c r="E55" s="18"/>
      <c r="F55" s="27">
        <v>40000000</v>
      </c>
      <c r="G55" s="28">
        <v>10000000</v>
      </c>
      <c r="H55" s="28">
        <v>5000000</v>
      </c>
      <c r="I55" s="13"/>
      <c r="J55" s="19"/>
      <c r="K55" s="19"/>
      <c r="L55" s="19"/>
      <c r="M55" s="19"/>
    </row>
    <row r="56" spans="1:13" ht="24.75" customHeight="1">
      <c r="A56" s="352" t="s">
        <v>88</v>
      </c>
      <c r="B56" s="308" t="s">
        <v>89</v>
      </c>
      <c r="C56" s="15" t="s">
        <v>109</v>
      </c>
      <c r="D56" s="24">
        <f t="shared" si="7"/>
        <v>0</v>
      </c>
      <c r="E56" s="18"/>
      <c r="F56" s="27"/>
      <c r="G56" s="27"/>
      <c r="H56" s="12"/>
      <c r="I56" s="12"/>
      <c r="J56" s="19"/>
      <c r="K56" s="19"/>
      <c r="L56" s="19"/>
      <c r="M56" s="19"/>
    </row>
    <row r="57" spans="1:13" ht="20.25" customHeight="1">
      <c r="A57" s="353"/>
      <c r="B57" s="308"/>
      <c r="C57" s="15" t="s">
        <v>108</v>
      </c>
      <c r="D57" s="24">
        <f t="shared" si="7"/>
        <v>11240400</v>
      </c>
      <c r="E57" s="18"/>
      <c r="F57" s="27"/>
      <c r="G57" s="28">
        <v>5620200</v>
      </c>
      <c r="H57" s="28">
        <v>5620200</v>
      </c>
      <c r="I57" s="27"/>
      <c r="J57" s="19"/>
      <c r="K57" s="19"/>
      <c r="L57" s="19"/>
      <c r="M57" s="19"/>
    </row>
    <row r="58" spans="1:13" ht="30.75" customHeight="1">
      <c r="A58" s="353"/>
      <c r="B58" s="308"/>
      <c r="C58" s="15" t="s">
        <v>132</v>
      </c>
      <c r="D58" s="24">
        <f t="shared" si="7"/>
        <v>5620200</v>
      </c>
      <c r="E58" s="18"/>
      <c r="F58" s="27"/>
      <c r="G58" s="28"/>
      <c r="H58" s="28"/>
      <c r="I58" s="28">
        <v>5620200</v>
      </c>
      <c r="J58" s="19"/>
      <c r="K58" s="19"/>
      <c r="L58" s="19"/>
      <c r="M58" s="19"/>
    </row>
    <row r="59" spans="1:13" ht="30.75" customHeight="1">
      <c r="A59" s="353"/>
      <c r="B59" s="308"/>
      <c r="C59" s="171" t="s">
        <v>431</v>
      </c>
      <c r="D59" s="24">
        <f t="shared" si="7"/>
        <v>5620200</v>
      </c>
      <c r="E59" s="18"/>
      <c r="F59" s="27"/>
      <c r="G59" s="28"/>
      <c r="H59" s="28"/>
      <c r="I59" s="28"/>
      <c r="J59" s="101">
        <v>5620200</v>
      </c>
      <c r="L59" s="19"/>
      <c r="M59" s="19"/>
    </row>
    <row r="60" spans="1:13" ht="30.75" customHeight="1">
      <c r="A60" s="354"/>
      <c r="B60" s="308"/>
      <c r="C60" s="186" t="s">
        <v>423</v>
      </c>
      <c r="D60" s="24"/>
      <c r="E60" s="18"/>
      <c r="F60" s="27"/>
      <c r="G60" s="28"/>
      <c r="H60" s="28"/>
      <c r="I60" s="28"/>
      <c r="J60" s="101"/>
      <c r="K60" s="89">
        <v>5620200</v>
      </c>
      <c r="L60" s="101"/>
      <c r="M60" s="19"/>
    </row>
    <row r="61" spans="1:13" ht="30.75" customHeight="1">
      <c r="A61" s="303" t="s">
        <v>90</v>
      </c>
      <c r="B61" s="308" t="s">
        <v>91</v>
      </c>
      <c r="C61" s="171" t="s">
        <v>108</v>
      </c>
      <c r="D61" s="24">
        <f t="shared" si="7"/>
        <v>0</v>
      </c>
      <c r="E61" s="18"/>
      <c r="F61" s="5"/>
      <c r="G61" s="27"/>
      <c r="H61" s="27"/>
      <c r="I61" s="13"/>
      <c r="J61" s="176"/>
      <c r="K61" s="19"/>
      <c r="L61" s="176"/>
      <c r="M61" s="19"/>
    </row>
    <row r="62" spans="1:13" ht="29.25" customHeight="1">
      <c r="A62" s="303"/>
      <c r="B62" s="308"/>
      <c r="C62" s="171" t="s">
        <v>132</v>
      </c>
      <c r="D62" s="24">
        <f t="shared" si="7"/>
        <v>26296655.64</v>
      </c>
      <c r="E62" s="18"/>
      <c r="F62" s="18"/>
      <c r="G62" s="29">
        <v>13148327.82</v>
      </c>
      <c r="H62" s="29">
        <v>13148327.82</v>
      </c>
      <c r="I62" s="20"/>
      <c r="J62" s="176"/>
      <c r="K62" s="19"/>
      <c r="L62" s="176"/>
      <c r="M62" s="19"/>
    </row>
    <row r="63" spans="1:13" ht="35.25" customHeight="1">
      <c r="A63" s="16" t="s">
        <v>105</v>
      </c>
      <c r="B63" s="7" t="s">
        <v>106</v>
      </c>
      <c r="C63" s="171" t="s">
        <v>389</v>
      </c>
      <c r="D63" s="24">
        <f t="shared" si="7"/>
        <v>40000000</v>
      </c>
      <c r="E63" s="18"/>
      <c r="F63" s="18"/>
      <c r="G63" s="18"/>
      <c r="H63" s="29">
        <v>12800000</v>
      </c>
      <c r="I63" s="29">
        <v>16000000</v>
      </c>
      <c r="J63" s="29">
        <v>11200000</v>
      </c>
      <c r="K63" s="19"/>
      <c r="L63" s="176"/>
      <c r="M63" s="19"/>
    </row>
    <row r="64" spans="1:13" ht="40.5" customHeight="1">
      <c r="A64" s="352" t="s">
        <v>405</v>
      </c>
      <c r="B64" s="304" t="s">
        <v>91</v>
      </c>
      <c r="C64" s="171" t="s">
        <v>389</v>
      </c>
      <c r="D64" s="24">
        <f t="shared" si="7"/>
        <v>91745863.9</v>
      </c>
      <c r="E64" s="19"/>
      <c r="F64" s="19"/>
      <c r="G64" s="19"/>
      <c r="H64" s="19"/>
      <c r="I64" s="18">
        <v>91745863.9</v>
      </c>
      <c r="J64" s="176"/>
      <c r="K64" s="19"/>
      <c r="L64" s="176"/>
      <c r="M64" s="19"/>
    </row>
    <row r="65" spans="1:13" ht="31.5" customHeight="1">
      <c r="A65" s="353"/>
      <c r="B65" s="304"/>
      <c r="C65" s="171" t="s">
        <v>431</v>
      </c>
      <c r="D65" s="24"/>
      <c r="E65" s="19"/>
      <c r="F65" s="19"/>
      <c r="G65" s="19"/>
      <c r="H65" s="19"/>
      <c r="I65" s="18"/>
      <c r="J65" s="101">
        <v>23648811</v>
      </c>
      <c r="K65" s="19"/>
      <c r="L65" s="176"/>
      <c r="M65" s="19"/>
    </row>
    <row r="66" spans="1:13" ht="31.5" customHeight="1">
      <c r="A66" s="354"/>
      <c r="B66" s="304"/>
      <c r="C66" s="186" t="s">
        <v>423</v>
      </c>
      <c r="D66" s="24"/>
      <c r="E66" s="19"/>
      <c r="F66" s="19"/>
      <c r="G66" s="19"/>
      <c r="H66" s="19"/>
      <c r="I66" s="18"/>
      <c r="J66" s="89">
        <v>46066805.019510716</v>
      </c>
      <c r="K66" s="89">
        <v>29115385.29284402</v>
      </c>
      <c r="L66" s="101"/>
      <c r="M66" s="19"/>
    </row>
    <row r="67" spans="1:15" ht="30" customHeight="1">
      <c r="A67" s="304" t="s">
        <v>120</v>
      </c>
      <c r="B67" s="304"/>
      <c r="C67" s="304"/>
      <c r="D67" s="25">
        <f>SUM(E67:M67)</f>
        <v>367611988.7323547</v>
      </c>
      <c r="E67" s="26">
        <f>SUM(E53:E64)</f>
        <v>27637467.88</v>
      </c>
      <c r="F67" s="26">
        <f>SUM(F53:F64)</f>
        <v>40000000</v>
      </c>
      <c r="G67" s="26">
        <f>SUM(G53:G64)</f>
        <v>28768527.82</v>
      </c>
      <c r="H67" s="26">
        <f>SUM(H53:H64)</f>
        <v>36568527.82</v>
      </c>
      <c r="I67" s="26">
        <f>SUM(I53:I64)</f>
        <v>113366063.9</v>
      </c>
      <c r="J67" s="26">
        <f>SUM(J53:J66)</f>
        <v>86535816.01951072</v>
      </c>
      <c r="K67" s="26">
        <f>SUM(K53:K66)</f>
        <v>34735585.29284402</v>
      </c>
      <c r="L67" s="26">
        <f>SUM(L53:L66)</f>
        <v>0</v>
      </c>
      <c r="M67" s="26">
        <f>SUM(M53:M66)</f>
        <v>0</v>
      </c>
      <c r="O67" s="84"/>
    </row>
    <row r="68" spans="1:15" ht="21.75" customHeight="1">
      <c r="A68" s="319" t="s">
        <v>123</v>
      </c>
      <c r="B68" s="320"/>
      <c r="C68" s="320"/>
      <c r="D68" s="321"/>
      <c r="E68" s="322">
        <f>E67+F67+G67</f>
        <v>96405995.69999999</v>
      </c>
      <c r="F68" s="323"/>
      <c r="G68" s="324"/>
      <c r="H68" s="33">
        <f>E68+H67</f>
        <v>132974523.51999998</v>
      </c>
      <c r="I68" s="33">
        <f>H68+I67</f>
        <v>246340587.42</v>
      </c>
      <c r="J68" s="33">
        <f>I68+J67</f>
        <v>332876403.4395107</v>
      </c>
      <c r="K68" s="33">
        <f>J68+K67</f>
        <v>367611988.7323547</v>
      </c>
      <c r="L68" s="33">
        <f>K68+L67</f>
        <v>367611988.7323547</v>
      </c>
      <c r="M68" s="33">
        <f>L68+M67</f>
        <v>367611988.7323547</v>
      </c>
      <c r="O68" s="84"/>
    </row>
    <row r="69" spans="1:13" ht="27" customHeight="1">
      <c r="A69" s="319" t="s">
        <v>424</v>
      </c>
      <c r="B69" s="320"/>
      <c r="C69" s="320"/>
      <c r="D69" s="321"/>
      <c r="E69" s="346">
        <v>56680630</v>
      </c>
      <c r="F69" s="347"/>
      <c r="G69" s="348"/>
      <c r="H69" s="182">
        <v>21418204.187999994</v>
      </c>
      <c r="I69" s="47"/>
      <c r="J69" s="47"/>
      <c r="K69" s="47"/>
      <c r="L69" s="47"/>
      <c r="M69" s="47"/>
    </row>
    <row r="70" spans="1:13" ht="21.75" customHeight="1" hidden="1">
      <c r="A70" s="310" t="s">
        <v>119</v>
      </c>
      <c r="B70" s="311"/>
      <c r="C70" s="311"/>
      <c r="D70" s="312"/>
      <c r="E70" s="34">
        <v>15704764.72</v>
      </c>
      <c r="F70" s="34">
        <v>30144890</v>
      </c>
      <c r="G70" s="34">
        <v>33627140</v>
      </c>
      <c r="H70" s="34">
        <v>21418204.187999994</v>
      </c>
      <c r="I70" s="34">
        <f>106147800+((E70+F70+G70-E71)/3)</f>
        <v>113746521.57333334</v>
      </c>
      <c r="J70" s="34">
        <f>72000000+((E70+F70+G70-E71)/3)</f>
        <v>79598721.57333334</v>
      </c>
      <c r="K70" s="34">
        <f>72000000+((E70+F70+G70-E71)/3)</f>
        <v>79598721.57333334</v>
      </c>
      <c r="L70" s="34">
        <v>62475000</v>
      </c>
      <c r="M70" s="34">
        <v>31050000</v>
      </c>
    </row>
    <row r="71" spans="1:13" ht="21.75" customHeight="1">
      <c r="A71" s="319" t="s">
        <v>119</v>
      </c>
      <c r="B71" s="320"/>
      <c r="C71" s="320"/>
      <c r="D71" s="321"/>
      <c r="E71" s="349">
        <f>E69</f>
        <v>56680630</v>
      </c>
      <c r="F71" s="350"/>
      <c r="G71" s="351"/>
      <c r="H71" s="34">
        <f aca="true" t="shared" si="8" ref="H71:M71">H70</f>
        <v>21418204.187999994</v>
      </c>
      <c r="I71" s="34">
        <f t="shared" si="8"/>
        <v>113746521.57333334</v>
      </c>
      <c r="J71" s="34">
        <f t="shared" si="8"/>
        <v>79598721.57333334</v>
      </c>
      <c r="K71" s="34">
        <f t="shared" si="8"/>
        <v>79598721.57333334</v>
      </c>
      <c r="L71" s="34">
        <f t="shared" si="8"/>
        <v>62475000</v>
      </c>
      <c r="M71" s="34">
        <f t="shared" si="8"/>
        <v>31050000</v>
      </c>
    </row>
    <row r="72" spans="1:13" ht="21.75" customHeight="1">
      <c r="A72" s="319" t="s">
        <v>121</v>
      </c>
      <c r="B72" s="320"/>
      <c r="C72" s="320"/>
      <c r="D72" s="321"/>
      <c r="E72" s="316">
        <f>E71</f>
        <v>56680630</v>
      </c>
      <c r="F72" s="317"/>
      <c r="G72" s="318"/>
      <c r="H72" s="35">
        <f>E72+H70</f>
        <v>78098834.188</v>
      </c>
      <c r="I72" s="35">
        <f>H72+I70</f>
        <v>191845355.76133335</v>
      </c>
      <c r="J72" s="35">
        <f>I72+J70</f>
        <v>271444077.33466667</v>
      </c>
      <c r="K72" s="35">
        <f>J72+K70</f>
        <v>351042798.908</v>
      </c>
      <c r="L72" s="35">
        <f>K72+L70</f>
        <v>413517798.908</v>
      </c>
      <c r="M72" s="35">
        <f>L72+M70</f>
        <v>444567798.908</v>
      </c>
    </row>
    <row r="73" spans="1:13" ht="21.75" customHeight="1">
      <c r="A73" s="319" t="s">
        <v>122</v>
      </c>
      <c r="B73" s="320"/>
      <c r="C73" s="320"/>
      <c r="D73" s="321"/>
      <c r="E73" s="331">
        <f>E68-E72</f>
        <v>39725365.69999999</v>
      </c>
      <c r="F73" s="332"/>
      <c r="G73" s="333"/>
      <c r="H73" s="26">
        <f aca="true" t="shared" si="9" ref="H73:M73">H68-H72</f>
        <v>54875689.33199999</v>
      </c>
      <c r="I73" s="26">
        <f t="shared" si="9"/>
        <v>54495231.65866664</v>
      </c>
      <c r="J73" s="26">
        <f t="shared" si="9"/>
        <v>61432326.10484403</v>
      </c>
      <c r="K73" s="26">
        <f t="shared" si="9"/>
        <v>16569189.824354708</v>
      </c>
      <c r="L73" s="26">
        <f t="shared" si="9"/>
        <v>-45905810.17564529</v>
      </c>
      <c r="M73" s="26">
        <f t="shared" si="9"/>
        <v>-76955810.17564529</v>
      </c>
    </row>
    <row r="74" spans="1:13" s="99" customFormat="1" ht="9.75" customHeight="1">
      <c r="A74" s="95"/>
      <c r="B74" s="96"/>
      <c r="C74" s="96"/>
      <c r="D74" s="96"/>
      <c r="E74" s="94"/>
      <c r="F74" s="94"/>
      <c r="G74" s="94"/>
      <c r="H74" s="97"/>
      <c r="I74" s="97"/>
      <c r="J74" s="97"/>
      <c r="K74" s="97"/>
      <c r="L74" s="97"/>
      <c r="M74" s="98"/>
    </row>
    <row r="75" spans="1:13" ht="30.75" customHeight="1">
      <c r="A75" s="309" t="s">
        <v>112</v>
      </c>
      <c r="B75" s="309"/>
      <c r="C75" s="309"/>
      <c r="D75" s="313" t="s">
        <v>124</v>
      </c>
      <c r="E75" s="314"/>
      <c r="F75" s="314"/>
      <c r="G75" s="314"/>
      <c r="H75" s="314"/>
      <c r="I75" s="314"/>
      <c r="J75" s="314"/>
      <c r="K75" s="314"/>
      <c r="L75" s="314"/>
      <c r="M75" s="315"/>
    </row>
    <row r="76" spans="1:13" ht="24" customHeight="1">
      <c r="A76" s="309"/>
      <c r="B76" s="309"/>
      <c r="C76" s="309"/>
      <c r="D76" s="6" t="s">
        <v>81</v>
      </c>
      <c r="E76" s="6" t="s">
        <v>85</v>
      </c>
      <c r="F76" s="6">
        <v>2013</v>
      </c>
      <c r="G76" s="6">
        <v>2014</v>
      </c>
      <c r="H76" s="6">
        <v>2015</v>
      </c>
      <c r="I76" s="6">
        <v>2016</v>
      </c>
      <c r="J76" s="6">
        <v>2017</v>
      </c>
      <c r="K76" s="6">
        <v>2018</v>
      </c>
      <c r="L76" s="6">
        <v>2019</v>
      </c>
      <c r="M76" s="6">
        <v>2020</v>
      </c>
    </row>
    <row r="77" spans="1:13" ht="66" customHeight="1">
      <c r="A77" s="303" t="s">
        <v>82</v>
      </c>
      <c r="B77" s="307" t="s">
        <v>83</v>
      </c>
      <c r="C77" s="11" t="s">
        <v>84</v>
      </c>
      <c r="D77" s="24">
        <f>SUM(E77:M77)</f>
        <v>257738868.6</v>
      </c>
      <c r="E77" s="18">
        <f>E53+E29+E4</f>
        <v>257738868.6</v>
      </c>
      <c r="F77" s="18"/>
      <c r="G77" s="18"/>
      <c r="H77" s="18"/>
      <c r="I77" s="18"/>
      <c r="J77" s="18"/>
      <c r="K77" s="18"/>
      <c r="L77" s="18"/>
      <c r="M77" s="18"/>
    </row>
    <row r="78" spans="1:13" ht="15" customHeight="1">
      <c r="A78" s="303"/>
      <c r="B78" s="307"/>
      <c r="C78" s="15" t="s">
        <v>86</v>
      </c>
      <c r="D78" s="24">
        <f aca="true" t="shared" si="10" ref="D78:D83">SUM(E78:M78)</f>
        <v>344879663</v>
      </c>
      <c r="E78" s="18">
        <v>344879663</v>
      </c>
      <c r="F78" s="18"/>
      <c r="G78" s="18"/>
      <c r="H78" s="18"/>
      <c r="I78" s="18"/>
      <c r="J78" s="18"/>
      <c r="K78" s="18"/>
      <c r="L78" s="18"/>
      <c r="M78" s="18"/>
    </row>
    <row r="79" spans="1:13" ht="16.5" customHeight="1">
      <c r="A79" s="303"/>
      <c r="B79" s="307"/>
      <c r="C79" s="15" t="s">
        <v>87</v>
      </c>
      <c r="D79" s="24">
        <f t="shared" si="10"/>
        <v>1500000000</v>
      </c>
      <c r="E79" s="18"/>
      <c r="F79" s="18">
        <v>970000000</v>
      </c>
      <c r="G79" s="18">
        <v>276000000</v>
      </c>
      <c r="H79" s="18">
        <v>254000000</v>
      </c>
      <c r="I79" s="18"/>
      <c r="J79" s="18"/>
      <c r="K79" s="18"/>
      <c r="L79" s="18"/>
      <c r="M79" s="18"/>
    </row>
    <row r="80" spans="1:13" ht="18" customHeight="1">
      <c r="A80" s="17" t="s">
        <v>88</v>
      </c>
      <c r="B80" s="14" t="s">
        <v>89</v>
      </c>
      <c r="C80" s="15" t="s">
        <v>109</v>
      </c>
      <c r="D80" s="24">
        <f t="shared" si="10"/>
        <v>1130377032</v>
      </c>
      <c r="E80" s="18"/>
      <c r="F80" s="18"/>
      <c r="G80" s="18">
        <f>197200000-9860000</f>
        <v>187340000</v>
      </c>
      <c r="H80" s="18">
        <f>197200000-9438968</f>
        <v>187761032</v>
      </c>
      <c r="I80" s="18">
        <f>197200000-9860000</f>
        <v>187340000</v>
      </c>
      <c r="J80" s="18">
        <f>197200000-(197200000*0.04)</f>
        <v>189312000</v>
      </c>
      <c r="K80" s="18">
        <f>197200000-(197200000*0.04)</f>
        <v>189312000</v>
      </c>
      <c r="L80" s="18">
        <f>197200000-(197200000*0.04)</f>
        <v>189312000</v>
      </c>
      <c r="M80" s="18"/>
    </row>
    <row r="81" spans="1:13" ht="43.5" customHeight="1">
      <c r="A81" s="30" t="s">
        <v>90</v>
      </c>
      <c r="B81" s="344" t="s">
        <v>91</v>
      </c>
      <c r="C81" s="345"/>
      <c r="D81" s="24">
        <f t="shared" si="10"/>
        <v>554342386.8</v>
      </c>
      <c r="E81" s="18"/>
      <c r="F81" s="18"/>
      <c r="G81" s="18">
        <f>300000000-11170402.1</f>
        <v>288829597.9</v>
      </c>
      <c r="H81" s="18">
        <f>300000000-8500000-25987211.1</f>
        <v>265512788.9</v>
      </c>
      <c r="I81" s="18"/>
      <c r="J81" s="18"/>
      <c r="K81" s="18"/>
      <c r="L81" s="18"/>
      <c r="M81" s="18"/>
    </row>
    <row r="82" spans="1:13" ht="30" customHeight="1">
      <c r="A82" s="16" t="s">
        <v>105</v>
      </c>
      <c r="B82" s="305" t="s">
        <v>106</v>
      </c>
      <c r="C82" s="306"/>
      <c r="D82" s="24">
        <f t="shared" si="10"/>
        <v>250000000</v>
      </c>
      <c r="E82" s="18"/>
      <c r="F82" s="18"/>
      <c r="H82" s="18">
        <v>80000000</v>
      </c>
      <c r="I82" s="18">
        <v>100000000</v>
      </c>
      <c r="J82" s="18">
        <v>70000000</v>
      </c>
      <c r="K82" s="18"/>
      <c r="L82" s="18"/>
      <c r="M82" s="18"/>
    </row>
    <row r="83" spans="1:15" ht="46.5" customHeight="1">
      <c r="A83" s="16" t="s">
        <v>405</v>
      </c>
      <c r="B83" s="319" t="s">
        <v>91</v>
      </c>
      <c r="C83" s="321"/>
      <c r="D83" s="24">
        <f t="shared" si="10"/>
        <v>4871152265.33</v>
      </c>
      <c r="E83" s="18"/>
      <c r="F83" s="18"/>
      <c r="G83" s="18"/>
      <c r="H83" s="18">
        <f>193866442.33</f>
        <v>193866442.33</v>
      </c>
      <c r="I83" s="18">
        <f>899239000-13974947-(900000000*0.04)-11978230</f>
        <v>837285823</v>
      </c>
      <c r="J83" s="18">
        <f>1100000000-(1100000000*0.04)</f>
        <v>1056000000</v>
      </c>
      <c r="K83" s="18">
        <f>967000000-(967000000*0.04)</f>
        <v>928320000</v>
      </c>
      <c r="L83" s="18">
        <f>967000000-(967000000*0.04)</f>
        <v>928320000</v>
      </c>
      <c r="M83" s="18">
        <f>966000000-(966000000*0.04)</f>
        <v>927360000</v>
      </c>
      <c r="O83" s="21"/>
    </row>
    <row r="84" spans="1:15" ht="27.75" customHeight="1">
      <c r="A84" s="304" t="s">
        <v>81</v>
      </c>
      <c r="B84" s="304"/>
      <c r="C84" s="304"/>
      <c r="D84" s="26">
        <f>SUM(E84:M84)</f>
        <v>8908490215.73</v>
      </c>
      <c r="E84" s="23">
        <f aca="true" t="shared" si="11" ref="E84:M84">SUM(E77:E83)</f>
        <v>602618531.6</v>
      </c>
      <c r="F84" s="23">
        <f t="shared" si="11"/>
        <v>970000000</v>
      </c>
      <c r="G84" s="23">
        <f t="shared" si="11"/>
        <v>752169597.9</v>
      </c>
      <c r="H84" s="23">
        <f t="shared" si="11"/>
        <v>981140263.23</v>
      </c>
      <c r="I84" s="23">
        <f t="shared" si="11"/>
        <v>1124625823</v>
      </c>
      <c r="J84" s="23">
        <f>SUM(J77:J83)</f>
        <v>1315312000</v>
      </c>
      <c r="K84" s="23">
        <f t="shared" si="11"/>
        <v>1117632000</v>
      </c>
      <c r="L84" s="23">
        <f t="shared" si="11"/>
        <v>1117632000</v>
      </c>
      <c r="M84" s="23">
        <f t="shared" si="11"/>
        <v>927360000</v>
      </c>
      <c r="O84" s="21"/>
    </row>
    <row r="85" ht="7.5" customHeight="1"/>
    <row r="86" spans="1:13" ht="40.5" customHeight="1">
      <c r="A86" s="355" t="s">
        <v>404</v>
      </c>
      <c r="B86" s="356"/>
      <c r="C86" s="357"/>
      <c r="D86" s="313" t="s">
        <v>407</v>
      </c>
      <c r="E86" s="314"/>
      <c r="F86" s="314"/>
      <c r="G86" s="314"/>
      <c r="H86" s="314"/>
      <c r="I86" s="314"/>
      <c r="J86" s="314"/>
      <c r="K86" s="314"/>
      <c r="L86" s="314"/>
      <c r="M86" s="315"/>
    </row>
    <row r="87" spans="1:13" ht="30.75" customHeight="1">
      <c r="A87" s="358"/>
      <c r="B87" s="359"/>
      <c r="C87" s="360"/>
      <c r="D87" s="6" t="s">
        <v>81</v>
      </c>
      <c r="E87" s="6" t="s">
        <v>85</v>
      </c>
      <c r="F87" s="6">
        <v>2013</v>
      </c>
      <c r="G87" s="6">
        <v>2014</v>
      </c>
      <c r="H87" s="6">
        <v>2015</v>
      </c>
      <c r="I87" s="6">
        <v>2016</v>
      </c>
      <c r="J87" s="6">
        <v>2017</v>
      </c>
      <c r="K87" s="6">
        <v>2018</v>
      </c>
      <c r="L87" s="6">
        <v>2019</v>
      </c>
      <c r="M87" s="6">
        <v>2020</v>
      </c>
    </row>
    <row r="88" spans="1:13" ht="63.75">
      <c r="A88" s="341" t="s">
        <v>82</v>
      </c>
      <c r="B88" s="361" t="s">
        <v>83</v>
      </c>
      <c r="C88" s="11" t="s">
        <v>84</v>
      </c>
      <c r="D88" s="24">
        <f aca="true" t="shared" si="12" ref="D88:D95">SUM(E88:M88)</f>
        <v>0</v>
      </c>
      <c r="E88" s="18">
        <f>E77-E53-E29-E4</f>
        <v>0</v>
      </c>
      <c r="F88" s="18"/>
      <c r="G88" s="18"/>
      <c r="H88" s="18"/>
      <c r="I88" s="18"/>
      <c r="J88" s="18"/>
      <c r="K88" s="18"/>
      <c r="L88" s="18"/>
      <c r="M88" s="18"/>
    </row>
    <row r="89" spans="1:13" ht="22.5" customHeight="1">
      <c r="A89" s="342"/>
      <c r="B89" s="362"/>
      <c r="C89" s="15" t="s">
        <v>86</v>
      </c>
      <c r="D89" s="24">
        <f t="shared" si="12"/>
        <v>0</v>
      </c>
      <c r="E89" s="18">
        <f>E78-E54-E30-E5</f>
        <v>0</v>
      </c>
      <c r="F89" s="18"/>
      <c r="G89" s="18"/>
      <c r="H89" s="18"/>
      <c r="I89" s="18"/>
      <c r="J89" s="18"/>
      <c r="K89" s="18"/>
      <c r="L89" s="18"/>
      <c r="M89" s="18"/>
    </row>
    <row r="90" spans="1:13" ht="22.5" customHeight="1">
      <c r="A90" s="343"/>
      <c r="B90" s="363"/>
      <c r="C90" s="15" t="s">
        <v>87</v>
      </c>
      <c r="D90" s="24">
        <f t="shared" si="12"/>
        <v>0</v>
      </c>
      <c r="E90" s="18"/>
      <c r="F90" s="18">
        <f>F79-F55-F31-F6</f>
        <v>0</v>
      </c>
      <c r="G90" s="18">
        <f>G79-G55-G31-G6</f>
        <v>0</v>
      </c>
      <c r="H90" s="18">
        <f>H79-H55-H31-H6</f>
        <v>0</v>
      </c>
      <c r="I90" s="18"/>
      <c r="J90" s="18"/>
      <c r="K90" s="18"/>
      <c r="L90" s="18"/>
      <c r="M90" s="18"/>
    </row>
    <row r="91" spans="1:13" ht="25.5" customHeight="1">
      <c r="A91" s="17" t="s">
        <v>88</v>
      </c>
      <c r="B91" s="305" t="s">
        <v>89</v>
      </c>
      <c r="C91" s="306"/>
      <c r="D91" s="24">
        <f t="shared" si="12"/>
        <v>193677032</v>
      </c>
      <c r="E91" s="18"/>
      <c r="F91" s="18"/>
      <c r="G91" s="18">
        <f>G80-G59-G58-G57-G56-G35-G34-G33-G32-G9-G8-G7-G36-G10</f>
        <v>0</v>
      </c>
      <c r="H91" s="18">
        <f>H80-H59-H58-H57-H56-H35-H34-H33-H32-H9-H8-H7-H36-H10</f>
        <v>0</v>
      </c>
      <c r="I91" s="18">
        <f>I80-I59-I58-I57-I56-I35-I34-I33-I32-I9-I8-I7-I36-I10-I60-I37-I11</f>
        <v>0</v>
      </c>
      <c r="J91" s="18">
        <f>J80-J59-J58-J57-J56-J35-J34-J33-J32-J9-J8-J7-J36-J10-J60-J37-J11</f>
        <v>2393032</v>
      </c>
      <c r="K91" s="88">
        <f>K80-K59-K58-K57-K56-K35-K34-K33-K32-K9-K8-K7-K36-K10-K60-K37-K11</f>
        <v>1972000</v>
      </c>
      <c r="L91" s="18">
        <f>L80-L59-L58-L57-L56-L35-L34-L33-L32-L9-L8-L7-L36-L10-L60-L37-L11</f>
        <v>189312000</v>
      </c>
      <c r="M91" s="18">
        <f>M80-M59-M58-M57-M56-M35-M34-M33-M32-M9-M8-M7-M36-M10-M60-M37-M11</f>
        <v>0</v>
      </c>
    </row>
    <row r="92" spans="1:13" ht="48" customHeight="1">
      <c r="A92" s="30" t="s">
        <v>90</v>
      </c>
      <c r="B92" s="305" t="s">
        <v>91</v>
      </c>
      <c r="C92" s="306"/>
      <c r="D92" s="24">
        <f t="shared" si="12"/>
        <v>0</v>
      </c>
      <c r="E92" s="18"/>
      <c r="F92" s="18"/>
      <c r="G92" s="18">
        <f>G81-G62-G61-G39-G38-G13-G12-G14</f>
        <v>0</v>
      </c>
      <c r="H92" s="18">
        <v>0</v>
      </c>
      <c r="I92" s="18"/>
      <c r="J92" s="18"/>
      <c r="K92" s="18"/>
      <c r="L92" s="18"/>
      <c r="M92" s="18"/>
    </row>
    <row r="93" spans="1:13" ht="24" customHeight="1">
      <c r="A93" s="16" t="s">
        <v>105</v>
      </c>
      <c r="B93" s="305" t="s">
        <v>106</v>
      </c>
      <c r="C93" s="306"/>
      <c r="D93" s="24">
        <f t="shared" si="12"/>
        <v>0</v>
      </c>
      <c r="E93" s="18"/>
      <c r="F93" s="18"/>
      <c r="G93" s="18"/>
      <c r="H93" s="18">
        <f>H82-H63-H16</f>
        <v>0</v>
      </c>
      <c r="I93" s="18">
        <f>I82-I63-I16</f>
        <v>0</v>
      </c>
      <c r="J93" s="18">
        <f>J82-J63-J16</f>
        <v>0</v>
      </c>
      <c r="K93" s="18"/>
      <c r="L93" s="18"/>
      <c r="M93" s="18"/>
    </row>
    <row r="94" spans="1:13" ht="44.25" customHeight="1">
      <c r="A94" s="16" t="s">
        <v>405</v>
      </c>
      <c r="B94" s="319" t="s">
        <v>91</v>
      </c>
      <c r="C94" s="321"/>
      <c r="D94" s="24">
        <f t="shared" si="12"/>
        <v>2484994229.793599</v>
      </c>
      <c r="E94" s="18"/>
      <c r="F94" s="18"/>
      <c r="G94" s="18">
        <f>G83-G17-G42-G65-G64-G41</f>
        <v>0</v>
      </c>
      <c r="H94" s="18">
        <v>0</v>
      </c>
      <c r="I94" s="88">
        <f>I83-I17-I42-I65-I64-I41-I18-I19-I66-I43</f>
        <v>0</v>
      </c>
      <c r="J94" s="88">
        <f>J83-J17-J42-J65-J64-J41-J18-J19-J66-J43</f>
        <v>177606968</v>
      </c>
      <c r="K94" s="88">
        <v>451707261.7935994</v>
      </c>
      <c r="L94" s="18">
        <f>L83-L17-L42-L65-L64-L41-L18-L19-L66-L43</f>
        <v>928320000</v>
      </c>
      <c r="M94" s="18">
        <f>M83-M17-M42-M65-M64-M41-M18-M19-M66-M43</f>
        <v>927360000</v>
      </c>
    </row>
    <row r="95" spans="1:13" ht="29.25" customHeight="1">
      <c r="A95" s="319" t="s">
        <v>81</v>
      </c>
      <c r="B95" s="320"/>
      <c r="C95" s="321"/>
      <c r="D95" s="26">
        <f t="shared" si="12"/>
        <v>2678671261.793599</v>
      </c>
      <c r="E95" s="23">
        <f aca="true" t="shared" si="13" ref="E95:M95">SUM(E88:E94)</f>
        <v>0</v>
      </c>
      <c r="F95" s="23">
        <f t="shared" si="13"/>
        <v>0</v>
      </c>
      <c r="G95" s="23">
        <f t="shared" si="13"/>
        <v>0</v>
      </c>
      <c r="H95" s="23">
        <f t="shared" si="13"/>
        <v>0</v>
      </c>
      <c r="I95" s="23">
        <f t="shared" si="13"/>
        <v>0</v>
      </c>
      <c r="J95" s="23">
        <f t="shared" si="13"/>
        <v>180000000</v>
      </c>
      <c r="K95" s="23">
        <f t="shared" si="13"/>
        <v>453679261.7935994</v>
      </c>
      <c r="L95" s="23">
        <f t="shared" si="13"/>
        <v>1117632000</v>
      </c>
      <c r="M95" s="23">
        <f t="shared" si="13"/>
        <v>927360000</v>
      </c>
    </row>
    <row r="96" spans="7:10" ht="15">
      <c r="G96" s="92"/>
      <c r="H96" s="93"/>
      <c r="I96" s="93"/>
      <c r="J96" s="180">
        <v>180000000</v>
      </c>
    </row>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2" ht="12.75"/>
    <row r="133" ht="12.75"/>
  </sheetData>
  <sheetProtection/>
  <mergeCells count="84">
    <mergeCell ref="A21:D21"/>
    <mergeCell ref="A24:D24"/>
    <mergeCell ref="B7:B11"/>
    <mergeCell ref="A46:D46"/>
    <mergeCell ref="A12:A15"/>
    <mergeCell ref="A7:A11"/>
    <mergeCell ref="A17:A19"/>
    <mergeCell ref="B17:B19"/>
    <mergeCell ref="A41:A43"/>
    <mergeCell ref="B41:B43"/>
    <mergeCell ref="A22:D22"/>
    <mergeCell ref="A23:D23"/>
    <mergeCell ref="D27:M27"/>
    <mergeCell ref="A25:D25"/>
    <mergeCell ref="A44:C44"/>
    <mergeCell ref="A45:D45"/>
    <mergeCell ref="E45:G45"/>
    <mergeCell ref="B32:B37"/>
    <mergeCell ref="A29:A31"/>
    <mergeCell ref="B29:B31"/>
    <mergeCell ref="B12:B15"/>
    <mergeCell ref="A20:C20"/>
    <mergeCell ref="E24:G24"/>
    <mergeCell ref="E21:G21"/>
    <mergeCell ref="E22:G22"/>
    <mergeCell ref="A1:M1"/>
    <mergeCell ref="A2:C3"/>
    <mergeCell ref="D2:M2"/>
    <mergeCell ref="A4:A6"/>
    <mergeCell ref="B4:B6"/>
    <mergeCell ref="E46:G46"/>
    <mergeCell ref="E25:G25"/>
    <mergeCell ref="A26:D26"/>
    <mergeCell ref="E26:G26"/>
    <mergeCell ref="A27:C28"/>
    <mergeCell ref="B56:B60"/>
    <mergeCell ref="A48:D48"/>
    <mergeCell ref="A51:C52"/>
    <mergeCell ref="D51:M51"/>
    <mergeCell ref="A53:A55"/>
    <mergeCell ref="B53:B55"/>
    <mergeCell ref="A47:D47"/>
    <mergeCell ref="A70:D70"/>
    <mergeCell ref="A71:D71"/>
    <mergeCell ref="A64:A66"/>
    <mergeCell ref="A56:A60"/>
    <mergeCell ref="B64:B66"/>
    <mergeCell ref="E48:G48"/>
    <mergeCell ref="A49:D49"/>
    <mergeCell ref="E49:G49"/>
    <mergeCell ref="A50:D50"/>
    <mergeCell ref="E50:G50"/>
    <mergeCell ref="E71:G71"/>
    <mergeCell ref="A61:A62"/>
    <mergeCell ref="B61:B62"/>
    <mergeCell ref="A67:C67"/>
    <mergeCell ref="A68:D68"/>
    <mergeCell ref="A95:C95"/>
    <mergeCell ref="A86:C87"/>
    <mergeCell ref="B88:B90"/>
    <mergeCell ref="B91:C91"/>
    <mergeCell ref="B92:C92"/>
    <mergeCell ref="A88:A90"/>
    <mergeCell ref="B93:C93"/>
    <mergeCell ref="B94:C94"/>
    <mergeCell ref="A75:C76"/>
    <mergeCell ref="D75:M75"/>
    <mergeCell ref="E69:G69"/>
    <mergeCell ref="A84:C84"/>
    <mergeCell ref="A72:D72"/>
    <mergeCell ref="A69:D69"/>
    <mergeCell ref="A77:A79"/>
    <mergeCell ref="B77:B79"/>
    <mergeCell ref="B81:C81"/>
    <mergeCell ref="A38:A39"/>
    <mergeCell ref="B38:B39"/>
    <mergeCell ref="A32:A37"/>
    <mergeCell ref="D86:M86"/>
    <mergeCell ref="E72:G72"/>
    <mergeCell ref="E68:G68"/>
    <mergeCell ref="A73:D73"/>
    <mergeCell ref="E73:G73"/>
    <mergeCell ref="B82:C82"/>
    <mergeCell ref="B83:C83"/>
  </mergeCells>
  <conditionalFormatting sqref="E26 H26:M26">
    <cfRule type="cellIs" priority="3" dxfId="9" operator="lessThan" stopIfTrue="1">
      <formula>0</formula>
    </cfRule>
  </conditionalFormatting>
  <conditionalFormatting sqref="E50 H50:M50">
    <cfRule type="cellIs" priority="2" dxfId="9" operator="lessThan" stopIfTrue="1">
      <formula>0</formula>
    </cfRule>
  </conditionalFormatting>
  <conditionalFormatting sqref="E73:E74 H73:M74">
    <cfRule type="cellIs" priority="1" dxfId="9" operator="lessThan" stopIfTrue="1">
      <formula>0</formula>
    </cfRule>
  </conditionalFormatting>
  <printOptions horizontalCentered="1" verticalCentered="1"/>
  <pageMargins left="0.35433070866141736" right="0.2362204724409449" top="0.35433070866141736" bottom="0.4724409448818898" header="0.2755905511811024" footer="0.31496062992125984"/>
  <pageSetup fitToHeight="10" horizontalDpi="600" verticalDpi="600" orientation="landscape" paperSize="9" scale="52" r:id="rId3"/>
  <rowBreaks count="3" manualBreakCount="3">
    <brk id="26" max="12" man="1"/>
    <brk id="50" max="12" man="1"/>
    <brk id="74" max="12" man="1"/>
  </rowBreaks>
  <legacyDrawing r:id="rId2"/>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H11"/>
  <sheetViews>
    <sheetView zoomScalePageLayoutView="0" workbookViewId="0" topLeftCell="A1">
      <selection activeCell="A1" sqref="A1"/>
    </sheetView>
  </sheetViews>
  <sheetFormatPr defaultColWidth="11.421875" defaultRowHeight="21.75" customHeight="1"/>
  <cols>
    <col min="1" max="1" width="2.8515625" style="103" customWidth="1"/>
    <col min="2" max="2" width="25.28125" style="103" customWidth="1"/>
    <col min="3" max="3" width="24.140625" style="103" customWidth="1"/>
    <col min="4" max="7" width="19.421875" style="103" customWidth="1"/>
    <col min="8" max="8" width="19.7109375" style="103" customWidth="1"/>
    <col min="9" max="16384" width="11.421875" style="103" customWidth="1"/>
  </cols>
  <sheetData>
    <row r="1" spans="2:8" ht="50.25" customHeight="1">
      <c r="B1" s="370" t="s">
        <v>430</v>
      </c>
      <c r="C1" s="370"/>
      <c r="D1" s="370"/>
      <c r="E1" s="370"/>
      <c r="F1" s="370"/>
      <c r="G1" s="370"/>
      <c r="H1" s="370"/>
    </row>
    <row r="2" spans="2:8" ht="44.25" customHeight="1">
      <c r="B2" s="372" t="s">
        <v>63</v>
      </c>
      <c r="C2" s="104" t="s">
        <v>93</v>
      </c>
      <c r="D2" s="371" t="s">
        <v>77</v>
      </c>
      <c r="E2" s="371"/>
      <c r="F2" s="371"/>
      <c r="G2" s="371"/>
      <c r="H2" s="371"/>
    </row>
    <row r="3" spans="2:8" ht="47.25" customHeight="1">
      <c r="B3" s="372"/>
      <c r="C3" s="373" t="s">
        <v>429</v>
      </c>
      <c r="D3" s="187" t="s">
        <v>410</v>
      </c>
      <c r="E3" s="367" t="s">
        <v>125</v>
      </c>
      <c r="F3" s="368"/>
      <c r="G3" s="369"/>
      <c r="H3" s="371" t="s">
        <v>81</v>
      </c>
    </row>
    <row r="4" spans="2:8" ht="51.75" customHeight="1">
      <c r="B4" s="372"/>
      <c r="C4" s="373"/>
      <c r="D4" s="105" t="s">
        <v>425</v>
      </c>
      <c r="E4" s="105" t="s">
        <v>426</v>
      </c>
      <c r="F4" s="105" t="s">
        <v>427</v>
      </c>
      <c r="G4" s="105" t="s">
        <v>428</v>
      </c>
      <c r="H4" s="371"/>
    </row>
    <row r="5" spans="1:8" ht="27" customHeight="1">
      <c r="A5" s="106"/>
      <c r="B5" s="116" t="s">
        <v>4</v>
      </c>
      <c r="C5" s="107" t="e">
        <f>#REF!</f>
        <v>#REF!</v>
      </c>
      <c r="D5" s="102">
        <f>Tab3aPropostaAssegnazioniPriv!K11</f>
        <v>114483474</v>
      </c>
      <c r="E5" s="109">
        <f>Tab3aPropostaAssegnazioniPriv!I19</f>
        <v>177653472.90999997</v>
      </c>
      <c r="F5" s="109">
        <f>Tab3aPropostaAssegnazioniPriv!J19</f>
        <v>102048582.98048928</v>
      </c>
      <c r="G5" s="109">
        <f>Tab3aPropostaAssegnazioniPriv!K19</f>
        <v>347061182.8317238</v>
      </c>
      <c r="H5" s="110">
        <f>D5+E5+F5+G5</f>
        <v>741246712.722213</v>
      </c>
    </row>
    <row r="6" spans="2:8" ht="33.75" customHeight="1">
      <c r="B6" s="111" t="s">
        <v>115</v>
      </c>
      <c r="C6" s="107" t="e">
        <f>#REF!</f>
        <v>#REF!</v>
      </c>
      <c r="D6" s="102">
        <f>Tab3aPropostaAssegnazioniPriv!K37</f>
        <v>67236326</v>
      </c>
      <c r="E6" s="108">
        <v>0</v>
      </c>
      <c r="F6" s="109"/>
      <c r="G6" s="109">
        <f>Tab3aPropostaAssegnazioniPriv!K43</f>
        <v>100436170.0818327</v>
      </c>
      <c r="H6" s="110">
        <f>D6+E6+F6+G6</f>
        <v>167672496.0818327</v>
      </c>
    </row>
    <row r="7" spans="2:8" ht="29.25" customHeight="1">
      <c r="B7" s="111" t="s">
        <v>409</v>
      </c>
      <c r="C7" s="107" t="e">
        <f>#REF!</f>
        <v>#REF!</v>
      </c>
      <c r="D7" s="102">
        <f>Tab3aPropostaAssegnazioniPriv!K60</f>
        <v>5620200</v>
      </c>
      <c r="E7" s="108">
        <v>0</v>
      </c>
      <c r="F7" s="108">
        <f>Tab3aPropostaAssegnazioniPriv!J66</f>
        <v>46066805.019510716</v>
      </c>
      <c r="G7" s="108">
        <f>Tab3aPropostaAssegnazioniPriv!K66</f>
        <v>29115385.29284402</v>
      </c>
      <c r="H7" s="110">
        <f>D7+E7+F7+G7</f>
        <v>80802390.31235474</v>
      </c>
    </row>
    <row r="8" spans="2:8" ht="25.5" customHeight="1">
      <c r="B8" s="112" t="s">
        <v>81</v>
      </c>
      <c r="C8" s="112" t="e">
        <f>SUM(C5:C7)</f>
        <v>#REF!</v>
      </c>
      <c r="D8" s="113">
        <f>SUM(D5:D7)</f>
        <v>187340000</v>
      </c>
      <c r="E8" s="113">
        <f>E5+E6+E7</f>
        <v>177653472.90999997</v>
      </c>
      <c r="F8" s="113">
        <f>F5+F6+F7</f>
        <v>148115388</v>
      </c>
      <c r="G8" s="113">
        <f>G5+G6+G7</f>
        <v>476612738.2064005</v>
      </c>
      <c r="H8" s="112">
        <f>SUM(D8:G8)</f>
        <v>989721599.1164005</v>
      </c>
    </row>
    <row r="9" spans="3:8" ht="24" customHeight="1">
      <c r="C9" s="183"/>
      <c r="D9" s="183"/>
      <c r="E9" s="183"/>
      <c r="F9" s="183"/>
      <c r="G9" s="183"/>
      <c r="H9" s="183"/>
    </row>
    <row r="10" spans="3:8" ht="23.25" customHeight="1">
      <c r="C10" s="184"/>
      <c r="D10" s="185"/>
      <c r="E10" s="185"/>
      <c r="F10" s="185"/>
      <c r="G10" s="185"/>
      <c r="H10" s="185"/>
    </row>
    <row r="11" spans="3:8" ht="27" customHeight="1">
      <c r="C11" s="184"/>
      <c r="D11" s="185"/>
      <c r="E11" s="185"/>
      <c r="F11" s="185"/>
      <c r="G11" s="185"/>
      <c r="H11" s="185"/>
    </row>
  </sheetData>
  <sheetProtection/>
  <mergeCells count="6">
    <mergeCell ref="E3:G3"/>
    <mergeCell ref="B1:H1"/>
    <mergeCell ref="D2:H2"/>
    <mergeCell ref="H3:H4"/>
    <mergeCell ref="B2:B4"/>
    <mergeCell ref="C3:C4"/>
  </mergeCells>
  <printOptions horizontalCentered="1" verticalCentered="1"/>
  <pageMargins left="0.7086614173228347" right="0.7086614173228347" top="0.7480314960629921" bottom="0.7480314960629921" header="0.31496062992125984" footer="0.31496062992125984"/>
  <pageSetup fitToHeight="99"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tabColor theme="0"/>
  </sheetPr>
  <dimension ref="A1:O102"/>
  <sheetViews>
    <sheetView zoomScalePageLayoutView="0" workbookViewId="0" topLeftCell="A1">
      <selection activeCell="A1" sqref="A1:M1"/>
    </sheetView>
  </sheetViews>
  <sheetFormatPr defaultColWidth="11.421875" defaultRowHeight="15"/>
  <cols>
    <col min="1" max="1" width="13.421875" style="5" customWidth="1"/>
    <col min="2" max="2" width="11.8515625" style="5" customWidth="1"/>
    <col min="3" max="3" width="19.8515625" style="9" customWidth="1"/>
    <col min="4" max="4" width="17.00390625" style="9" customWidth="1"/>
    <col min="5" max="7" width="16.8515625" style="10" customWidth="1"/>
    <col min="8" max="9" width="16.8515625" style="5" customWidth="1"/>
    <col min="10" max="10" width="17.8515625" style="5" customWidth="1"/>
    <col min="11" max="13" width="16.8515625" style="5" customWidth="1"/>
    <col min="14" max="14" width="11.421875" style="5" customWidth="1"/>
    <col min="15" max="15" width="14.8515625" style="5" bestFit="1" customWidth="1"/>
    <col min="16" max="16384" width="11.421875" style="5" customWidth="1"/>
  </cols>
  <sheetData>
    <row r="1" spans="1:13" ht="58.5" customHeight="1">
      <c r="A1" s="334" t="s">
        <v>406</v>
      </c>
      <c r="B1" s="334"/>
      <c r="C1" s="334"/>
      <c r="D1" s="334"/>
      <c r="E1" s="334"/>
      <c r="F1" s="334"/>
      <c r="G1" s="334"/>
      <c r="H1" s="334"/>
      <c r="I1" s="334"/>
      <c r="J1" s="334"/>
      <c r="K1" s="334"/>
      <c r="L1" s="334"/>
      <c r="M1" s="334"/>
    </row>
    <row r="2" spans="1:13" ht="33" customHeight="1">
      <c r="A2" s="309" t="s">
        <v>92</v>
      </c>
      <c r="B2" s="309"/>
      <c r="C2" s="309"/>
      <c r="D2" s="313" t="s">
        <v>392</v>
      </c>
      <c r="E2" s="314"/>
      <c r="F2" s="314"/>
      <c r="G2" s="314"/>
      <c r="H2" s="314"/>
      <c r="I2" s="314"/>
      <c r="J2" s="314"/>
      <c r="K2" s="314"/>
      <c r="L2" s="314"/>
      <c r="M2" s="315"/>
    </row>
    <row r="3" spans="1:13" ht="31.5" customHeight="1">
      <c r="A3" s="309"/>
      <c r="B3" s="309"/>
      <c r="C3" s="309"/>
      <c r="D3" s="6" t="s">
        <v>81</v>
      </c>
      <c r="E3" s="6" t="s">
        <v>85</v>
      </c>
      <c r="F3" s="6">
        <v>2013</v>
      </c>
      <c r="G3" s="6">
        <v>2014</v>
      </c>
      <c r="H3" s="6">
        <v>2015</v>
      </c>
      <c r="I3" s="6">
        <v>2016</v>
      </c>
      <c r="J3" s="6">
        <v>2017</v>
      </c>
      <c r="K3" s="6">
        <v>2018</v>
      </c>
      <c r="L3" s="6">
        <v>2019</v>
      </c>
      <c r="M3" s="6">
        <v>2020</v>
      </c>
    </row>
    <row r="4" spans="1:13" ht="72.75" customHeight="1">
      <c r="A4" s="303" t="s">
        <v>82</v>
      </c>
      <c r="B4" s="307" t="s">
        <v>83</v>
      </c>
      <c r="C4" s="11" t="s">
        <v>84</v>
      </c>
      <c r="D4" s="24">
        <f>SUM(E4:M4)</f>
        <v>133933072.31</v>
      </c>
      <c r="E4" s="18">
        <v>133933072.31</v>
      </c>
      <c r="F4" s="18"/>
      <c r="G4" s="18"/>
      <c r="H4" s="19"/>
      <c r="I4" s="19"/>
      <c r="J4" s="19"/>
      <c r="K4" s="19"/>
      <c r="L4" s="19"/>
      <c r="M4" s="19"/>
    </row>
    <row r="5" spans="1:13" ht="21.75" customHeight="1">
      <c r="A5" s="303"/>
      <c r="B5" s="307"/>
      <c r="C5" s="15" t="s">
        <v>86</v>
      </c>
      <c r="D5" s="24">
        <f aca="true" t="shared" si="0" ref="D5:D17">SUM(E5:M5)</f>
        <v>210974187.69</v>
      </c>
      <c r="E5" s="18">
        <v>210974187.69</v>
      </c>
      <c r="F5" s="18"/>
      <c r="G5" s="18"/>
      <c r="H5" s="19"/>
      <c r="I5" s="19"/>
      <c r="J5" s="19"/>
      <c r="K5" s="19"/>
      <c r="L5" s="19"/>
      <c r="M5" s="19"/>
    </row>
    <row r="6" spans="1:13" ht="22.5" customHeight="1">
      <c r="A6" s="303"/>
      <c r="B6" s="307"/>
      <c r="C6" s="15" t="s">
        <v>87</v>
      </c>
      <c r="D6" s="24">
        <f t="shared" si="0"/>
        <v>985000000</v>
      </c>
      <c r="E6" s="18"/>
      <c r="F6" s="18">
        <v>660000000</v>
      </c>
      <c r="G6" s="18">
        <v>167000000</v>
      </c>
      <c r="H6" s="18">
        <v>158000000</v>
      </c>
      <c r="I6" s="20"/>
      <c r="J6" s="19"/>
      <c r="K6" s="19"/>
      <c r="L6" s="19"/>
      <c r="M6" s="19"/>
    </row>
    <row r="7" spans="1:13" ht="24.75" customHeight="1">
      <c r="A7" s="335" t="s">
        <v>88</v>
      </c>
      <c r="B7" s="337" t="s">
        <v>89</v>
      </c>
      <c r="C7" s="15" t="s">
        <v>109</v>
      </c>
      <c r="D7" s="24">
        <f t="shared" si="0"/>
        <v>114483474</v>
      </c>
      <c r="E7" s="18"/>
      <c r="F7" s="18"/>
      <c r="G7" s="18">
        <v>114483474</v>
      </c>
      <c r="H7" s="19"/>
      <c r="I7" s="19"/>
      <c r="J7" s="19"/>
      <c r="K7" s="19"/>
      <c r="L7" s="19"/>
      <c r="M7" s="19"/>
    </row>
    <row r="8" spans="1:13" ht="20.25" customHeight="1">
      <c r="A8" s="336"/>
      <c r="B8" s="338"/>
      <c r="C8" s="15" t="s">
        <v>108</v>
      </c>
      <c r="D8" s="24">
        <f t="shared" si="0"/>
        <v>228966948</v>
      </c>
      <c r="E8" s="18"/>
      <c r="F8" s="18"/>
      <c r="G8" s="18"/>
      <c r="H8" s="18">
        <v>114483474</v>
      </c>
      <c r="I8" s="18">
        <v>114483474</v>
      </c>
      <c r="J8" s="19"/>
      <c r="K8" s="19"/>
      <c r="L8" s="19"/>
      <c r="M8" s="19"/>
    </row>
    <row r="9" spans="1:13" ht="27.75" customHeight="1">
      <c r="A9" s="336"/>
      <c r="B9" s="338"/>
      <c r="C9" s="15" t="s">
        <v>132</v>
      </c>
      <c r="D9" s="24">
        <f t="shared" si="0"/>
        <v>0</v>
      </c>
      <c r="E9" s="18"/>
      <c r="F9" s="18"/>
      <c r="G9" s="18"/>
      <c r="H9" s="18"/>
      <c r="I9" s="18"/>
      <c r="J9" s="19"/>
      <c r="K9" s="19"/>
      <c r="L9" s="19"/>
      <c r="M9" s="19"/>
    </row>
    <row r="10" spans="1:13" ht="27" customHeight="1">
      <c r="A10" s="339"/>
      <c r="B10" s="340"/>
      <c r="C10" s="177" t="s">
        <v>420</v>
      </c>
      <c r="D10" s="24">
        <f t="shared" si="0"/>
        <v>114483474</v>
      </c>
      <c r="E10" s="18"/>
      <c r="F10" s="18"/>
      <c r="G10" s="18"/>
      <c r="H10" s="18">
        <v>421032</v>
      </c>
      <c r="I10" s="18"/>
      <c r="J10" s="101">
        <f>114483474-H10</f>
        <v>114062442</v>
      </c>
      <c r="K10" s="22"/>
      <c r="L10" s="19"/>
      <c r="M10" s="19"/>
    </row>
    <row r="11" spans="1:13" ht="28.5" customHeight="1">
      <c r="A11" s="335" t="s">
        <v>90</v>
      </c>
      <c r="B11" s="337" t="s">
        <v>91</v>
      </c>
      <c r="C11" s="171" t="s">
        <v>108</v>
      </c>
      <c r="D11" s="24">
        <f t="shared" si="0"/>
        <v>142525129</v>
      </c>
      <c r="E11" s="83"/>
      <c r="F11" s="21"/>
      <c r="G11" s="83">
        <v>142525129</v>
      </c>
      <c r="H11" s="83"/>
      <c r="I11" s="90"/>
      <c r="J11" s="91"/>
      <c r="K11" s="91"/>
      <c r="L11" s="91"/>
      <c r="M11" s="19"/>
    </row>
    <row r="12" spans="1:13" ht="25.5" customHeight="1">
      <c r="A12" s="336"/>
      <c r="B12" s="338"/>
      <c r="C12" s="171" t="s">
        <v>132</v>
      </c>
      <c r="D12" s="24">
        <f t="shared" si="0"/>
        <v>269114280.65</v>
      </c>
      <c r="E12" s="18"/>
      <c r="F12" s="18"/>
      <c r="G12" s="18">
        <f>205819704.83-G11</f>
        <v>63294575.83000001</v>
      </c>
      <c r="H12" s="18">
        <v>205819704.82</v>
      </c>
      <c r="I12" s="20"/>
      <c r="J12" s="19"/>
      <c r="K12" s="19"/>
      <c r="L12" s="19"/>
      <c r="M12" s="19"/>
    </row>
    <row r="13" spans="1:13" ht="26.25" customHeight="1">
      <c r="A13" s="336"/>
      <c r="B13" s="338"/>
      <c r="C13" s="171" t="s">
        <v>389</v>
      </c>
      <c r="D13" s="24">
        <f t="shared" si="0"/>
        <v>110893532.61</v>
      </c>
      <c r="E13" s="18"/>
      <c r="F13" s="18"/>
      <c r="G13" s="18">
        <v>69861565.25</v>
      </c>
      <c r="H13" s="18">
        <v>41031967.36</v>
      </c>
      <c r="I13" s="20"/>
      <c r="J13" s="19"/>
      <c r="K13" s="19"/>
      <c r="L13" s="19"/>
      <c r="M13" s="19"/>
    </row>
    <row r="14" spans="1:13" ht="28.5" customHeight="1">
      <c r="A14" s="339"/>
      <c r="B14" s="340"/>
      <c r="C14" s="177" t="s">
        <v>420</v>
      </c>
      <c r="D14" s="24">
        <f t="shared" si="0"/>
        <v>5512789</v>
      </c>
      <c r="E14" s="18"/>
      <c r="F14" s="18"/>
      <c r="G14" s="18"/>
      <c r="H14" s="18">
        <v>5512789</v>
      </c>
      <c r="I14" s="20"/>
      <c r="J14" s="19"/>
      <c r="K14" s="19"/>
      <c r="L14" s="19"/>
      <c r="M14" s="19"/>
    </row>
    <row r="15" spans="1:13" ht="29.25" customHeight="1">
      <c r="A15" s="16" t="s">
        <v>105</v>
      </c>
      <c r="B15" s="7" t="s">
        <v>106</v>
      </c>
      <c r="C15" s="171" t="s">
        <v>389</v>
      </c>
      <c r="D15" s="24">
        <f t="shared" si="0"/>
        <v>210000000</v>
      </c>
      <c r="E15" s="18"/>
      <c r="F15" s="18"/>
      <c r="G15" s="18"/>
      <c r="H15" s="18">
        <v>67200000</v>
      </c>
      <c r="I15" s="18">
        <v>84000000</v>
      </c>
      <c r="J15" s="18">
        <v>58800000</v>
      </c>
      <c r="K15" s="19"/>
      <c r="L15" s="19"/>
      <c r="M15" s="19"/>
    </row>
    <row r="16" spans="1:13" ht="33" customHeight="1">
      <c r="A16" s="335" t="s">
        <v>405</v>
      </c>
      <c r="B16" s="335" t="s">
        <v>91</v>
      </c>
      <c r="C16" s="171" t="s">
        <v>389</v>
      </c>
      <c r="D16" s="24">
        <f t="shared" si="0"/>
        <v>481650886.24</v>
      </c>
      <c r="E16" s="19"/>
      <c r="F16" s="19"/>
      <c r="G16" s="19"/>
      <c r="H16" s="18">
        <v>190000000</v>
      </c>
      <c r="I16" s="18">
        <v>291650886.24</v>
      </c>
      <c r="J16" s="19"/>
      <c r="K16" s="19"/>
      <c r="L16" s="19"/>
      <c r="M16" s="19"/>
    </row>
    <row r="17" spans="1:13" ht="31.5" customHeight="1">
      <c r="A17" s="339"/>
      <c r="B17" s="339"/>
      <c r="C17" s="177" t="s">
        <v>420</v>
      </c>
      <c r="D17" s="24">
        <f t="shared" si="0"/>
        <v>586548446</v>
      </c>
      <c r="E17" s="19"/>
      <c r="F17" s="19"/>
      <c r="G17" s="19"/>
      <c r="H17" s="18">
        <v>3866442</v>
      </c>
      <c r="I17" s="18">
        <v>150000000</v>
      </c>
      <c r="J17" s="101">
        <v>432682004</v>
      </c>
      <c r="K17" s="101"/>
      <c r="L17" s="19"/>
      <c r="M17" s="19"/>
    </row>
    <row r="18" spans="1:13" ht="32.25" customHeight="1">
      <c r="A18" s="304" t="s">
        <v>120</v>
      </c>
      <c r="B18" s="304"/>
      <c r="C18" s="304"/>
      <c r="D18" s="25">
        <f>SUM(E18:M18)</f>
        <v>3594086219.5</v>
      </c>
      <c r="E18" s="26">
        <f>SUM(E4:E17)</f>
        <v>344907260</v>
      </c>
      <c r="F18" s="26">
        <f aca="true" t="shared" si="1" ref="F18:L18">SUM(F4:F17)</f>
        <v>660000000</v>
      </c>
      <c r="G18" s="26">
        <f t="shared" si="1"/>
        <v>557164744.08</v>
      </c>
      <c r="H18" s="26">
        <f t="shared" si="1"/>
        <v>786335409.1800001</v>
      </c>
      <c r="I18" s="26">
        <f t="shared" si="1"/>
        <v>640134360.24</v>
      </c>
      <c r="J18" s="26">
        <f>SUM(J4:J17)</f>
        <v>605544446</v>
      </c>
      <c r="K18" s="26">
        <f t="shared" si="1"/>
        <v>0</v>
      </c>
      <c r="L18" s="26">
        <f t="shared" si="1"/>
        <v>0</v>
      </c>
      <c r="M18" s="26">
        <f>SUM(M4:M17)</f>
        <v>0</v>
      </c>
    </row>
    <row r="19" spans="1:13" ht="23.25" customHeight="1">
      <c r="A19" s="319" t="s">
        <v>123</v>
      </c>
      <c r="B19" s="320"/>
      <c r="C19" s="320"/>
      <c r="D19" s="321"/>
      <c r="E19" s="322">
        <f>E18+F18+G18</f>
        <v>1562072004.08</v>
      </c>
      <c r="F19" s="323"/>
      <c r="G19" s="324"/>
      <c r="H19" s="33">
        <f>E19+H18</f>
        <v>2348407413.26</v>
      </c>
      <c r="I19" s="33">
        <f>H19+I18</f>
        <v>2988541773.5</v>
      </c>
      <c r="J19" s="33">
        <f>I19+J18</f>
        <v>3594086219.5</v>
      </c>
      <c r="K19" s="33">
        <f>J19+K18</f>
        <v>3594086219.5</v>
      </c>
      <c r="L19" s="33">
        <f>K19+L18</f>
        <v>3594086219.5</v>
      </c>
      <c r="M19" s="33">
        <f>L19+M18</f>
        <v>3594086219.5</v>
      </c>
    </row>
    <row r="20" spans="1:13" ht="30.75" customHeight="1">
      <c r="A20" s="319" t="s">
        <v>391</v>
      </c>
      <c r="B20" s="320"/>
      <c r="C20" s="320"/>
      <c r="D20" s="321"/>
      <c r="E20" s="328">
        <v>1208119600</v>
      </c>
      <c r="F20" s="329"/>
      <c r="G20" s="330"/>
      <c r="H20" s="47"/>
      <c r="I20" s="47"/>
      <c r="J20" s="47"/>
      <c r="K20" s="47"/>
      <c r="L20" s="47"/>
      <c r="M20" s="47"/>
    </row>
    <row r="21" spans="1:13" ht="24.75" customHeight="1" hidden="1">
      <c r="A21" s="310" t="s">
        <v>119</v>
      </c>
      <c r="B21" s="311"/>
      <c r="C21" s="311"/>
      <c r="D21" s="312"/>
      <c r="E21" s="34">
        <v>228369779.99999997</v>
      </c>
      <c r="F21" s="34">
        <v>383114000</v>
      </c>
      <c r="G21" s="34">
        <v>652462100</v>
      </c>
      <c r="H21" s="34">
        <v>868652376</v>
      </c>
      <c r="I21" s="34">
        <v>1060000000</v>
      </c>
      <c r="J21" s="34">
        <f>1042117000+(E21+F21+G21-E22)</f>
        <v>1097943280</v>
      </c>
      <c r="K21" s="34">
        <v>817700000</v>
      </c>
      <c r="L21" s="34">
        <v>550800000</v>
      </c>
      <c r="M21" s="34">
        <v>102000000</v>
      </c>
    </row>
    <row r="22" spans="1:13" ht="23.25" customHeight="1">
      <c r="A22" s="374" t="s">
        <v>119</v>
      </c>
      <c r="B22" s="375"/>
      <c r="C22" s="375"/>
      <c r="D22" s="376"/>
      <c r="E22" s="325">
        <f>E20</f>
        <v>1208119600</v>
      </c>
      <c r="F22" s="326"/>
      <c r="G22" s="327"/>
      <c r="H22" s="34">
        <f aca="true" t="shared" si="2" ref="H22:M22">H21</f>
        <v>868652376</v>
      </c>
      <c r="I22" s="34">
        <f t="shared" si="2"/>
        <v>1060000000</v>
      </c>
      <c r="J22" s="34">
        <f t="shared" si="2"/>
        <v>1097943280</v>
      </c>
      <c r="K22" s="34">
        <f t="shared" si="2"/>
        <v>817700000</v>
      </c>
      <c r="L22" s="34">
        <f t="shared" si="2"/>
        <v>550800000</v>
      </c>
      <c r="M22" s="34">
        <f t="shared" si="2"/>
        <v>102000000</v>
      </c>
    </row>
    <row r="23" spans="1:13" ht="23.25" customHeight="1">
      <c r="A23" s="319" t="s">
        <v>121</v>
      </c>
      <c r="B23" s="320"/>
      <c r="C23" s="320"/>
      <c r="D23" s="321"/>
      <c r="E23" s="316">
        <f>E22</f>
        <v>1208119600</v>
      </c>
      <c r="F23" s="317"/>
      <c r="G23" s="318"/>
      <c r="H23" s="35">
        <f>E23+H22</f>
        <v>2076771976</v>
      </c>
      <c r="I23" s="35">
        <f>H23+I22</f>
        <v>3136771976</v>
      </c>
      <c r="J23" s="35">
        <f>I23+J22</f>
        <v>4234715256</v>
      </c>
      <c r="K23" s="35">
        <f>J23+K22</f>
        <v>5052415256</v>
      </c>
      <c r="L23" s="35">
        <f>K23+L22</f>
        <v>5603215256</v>
      </c>
      <c r="M23" s="35">
        <f>L23+M22</f>
        <v>5705215256</v>
      </c>
    </row>
    <row r="24" spans="1:13" ht="23.25" customHeight="1">
      <c r="A24" s="319" t="s">
        <v>122</v>
      </c>
      <c r="B24" s="320"/>
      <c r="C24" s="320"/>
      <c r="D24" s="321"/>
      <c r="E24" s="331">
        <f>E19-E23</f>
        <v>353952404.0799999</v>
      </c>
      <c r="F24" s="332"/>
      <c r="G24" s="333"/>
      <c r="H24" s="26">
        <f aca="true" t="shared" si="3" ref="H24:M24">H19-H23</f>
        <v>271635437.2600002</v>
      </c>
      <c r="I24" s="26">
        <f t="shared" si="3"/>
        <v>-148230202.5</v>
      </c>
      <c r="J24" s="26">
        <f t="shared" si="3"/>
        <v>-640629036.5</v>
      </c>
      <c r="K24" s="26">
        <f t="shared" si="3"/>
        <v>-1458329036.5</v>
      </c>
      <c r="L24" s="26">
        <f t="shared" si="3"/>
        <v>-2009129036.5</v>
      </c>
      <c r="M24" s="26">
        <f t="shared" si="3"/>
        <v>-2111129036.5</v>
      </c>
    </row>
    <row r="25" spans="1:13" ht="35.25" customHeight="1">
      <c r="A25" s="309" t="s">
        <v>92</v>
      </c>
      <c r="B25" s="309"/>
      <c r="C25" s="309"/>
      <c r="D25" s="313" t="s">
        <v>393</v>
      </c>
      <c r="E25" s="314"/>
      <c r="F25" s="314"/>
      <c r="G25" s="314"/>
      <c r="H25" s="314"/>
      <c r="I25" s="314"/>
      <c r="J25" s="314"/>
      <c r="K25" s="314"/>
      <c r="L25" s="314"/>
      <c r="M25" s="315"/>
    </row>
    <row r="26" spans="1:13" ht="31.5" customHeight="1">
      <c r="A26" s="309"/>
      <c r="B26" s="309"/>
      <c r="C26" s="309"/>
      <c r="D26" s="6" t="s">
        <v>81</v>
      </c>
      <c r="E26" s="6" t="s">
        <v>85</v>
      </c>
      <c r="F26" s="6">
        <v>2013</v>
      </c>
      <c r="G26" s="6">
        <v>2014</v>
      </c>
      <c r="H26" s="6">
        <v>2015</v>
      </c>
      <c r="I26" s="6">
        <v>2016</v>
      </c>
      <c r="J26" s="6">
        <v>2017</v>
      </c>
      <c r="K26" s="6">
        <v>2018</v>
      </c>
      <c r="L26" s="6">
        <v>2019</v>
      </c>
      <c r="M26" s="6">
        <v>2020</v>
      </c>
    </row>
    <row r="27" spans="1:13" ht="72.75" customHeight="1">
      <c r="A27" s="303" t="s">
        <v>82</v>
      </c>
      <c r="B27" s="307" t="s">
        <v>83</v>
      </c>
      <c r="C27" s="11" t="s">
        <v>84</v>
      </c>
      <c r="D27" s="24">
        <v>106168328.41</v>
      </c>
      <c r="E27" s="18">
        <v>106168328.41</v>
      </c>
      <c r="F27" s="18"/>
      <c r="G27" s="18"/>
      <c r="H27" s="19"/>
      <c r="I27" s="19"/>
      <c r="J27" s="19"/>
      <c r="K27" s="19"/>
      <c r="L27" s="19"/>
      <c r="M27" s="19"/>
    </row>
    <row r="28" spans="1:13" ht="21.75" customHeight="1">
      <c r="A28" s="303"/>
      <c r="B28" s="307"/>
      <c r="C28" s="15" t="s">
        <v>86</v>
      </c>
      <c r="D28" s="24">
        <f aca="true" t="shared" si="4" ref="D28:D39">SUM(E28:M28)</f>
        <v>123905475.31</v>
      </c>
      <c r="E28" s="18">
        <v>123905475.31</v>
      </c>
      <c r="F28" s="18"/>
      <c r="G28" s="18"/>
      <c r="H28" s="19"/>
      <c r="I28" s="19"/>
      <c r="J28" s="19"/>
      <c r="K28" s="19"/>
      <c r="L28" s="19"/>
      <c r="M28" s="19"/>
    </row>
    <row r="29" spans="1:13" ht="22.5" customHeight="1">
      <c r="A29" s="303"/>
      <c r="B29" s="307"/>
      <c r="C29" s="15" t="s">
        <v>87</v>
      </c>
      <c r="D29" s="24">
        <f t="shared" si="4"/>
        <v>460000000</v>
      </c>
      <c r="E29" s="18"/>
      <c r="F29" s="18">
        <v>270000000</v>
      </c>
      <c r="G29" s="18">
        <v>99000000</v>
      </c>
      <c r="H29" s="18">
        <v>91000000</v>
      </c>
      <c r="I29" s="22"/>
      <c r="J29" s="19"/>
      <c r="K29" s="19"/>
      <c r="L29" s="19"/>
      <c r="M29" s="19"/>
    </row>
    <row r="30" spans="1:13" ht="24.75" customHeight="1">
      <c r="A30" s="335" t="s">
        <v>88</v>
      </c>
      <c r="B30" s="337" t="s">
        <v>89</v>
      </c>
      <c r="C30" s="15" t="s">
        <v>109</v>
      </c>
      <c r="D30" s="24">
        <f t="shared" si="4"/>
        <v>0</v>
      </c>
      <c r="E30" s="18"/>
      <c r="F30" s="18"/>
      <c r="G30" s="18"/>
      <c r="H30" s="19"/>
      <c r="I30" s="19"/>
      <c r="J30" s="19"/>
      <c r="K30" s="19"/>
      <c r="L30" s="19"/>
      <c r="M30" s="19"/>
    </row>
    <row r="31" spans="1:13" ht="20.25" customHeight="1">
      <c r="A31" s="336"/>
      <c r="B31" s="338"/>
      <c r="C31" s="15" t="s">
        <v>108</v>
      </c>
      <c r="D31" s="24">
        <f t="shared" si="4"/>
        <v>0</v>
      </c>
      <c r="E31" s="18"/>
      <c r="F31" s="18"/>
      <c r="G31" s="18"/>
      <c r="H31" s="18"/>
      <c r="I31" s="18"/>
      <c r="J31" s="19"/>
      <c r="K31" s="19"/>
      <c r="L31" s="19"/>
      <c r="M31" s="19"/>
    </row>
    <row r="32" spans="1:13" ht="26.25" customHeight="1">
      <c r="A32" s="336"/>
      <c r="B32" s="338"/>
      <c r="C32" s="15" t="s">
        <v>132</v>
      </c>
      <c r="D32" s="24">
        <f t="shared" si="4"/>
        <v>135752420.92</v>
      </c>
      <c r="E32" s="18"/>
      <c r="F32" s="18"/>
      <c r="G32" s="29">
        <v>55982438.68</v>
      </c>
      <c r="H32" s="29">
        <v>23787543.56</v>
      </c>
      <c r="I32" s="29">
        <v>55982438.68</v>
      </c>
      <c r="J32" s="19"/>
      <c r="K32" s="19"/>
      <c r="L32" s="19"/>
      <c r="M32" s="19"/>
    </row>
    <row r="33" spans="1:13" ht="24" customHeight="1">
      <c r="A33" s="336"/>
      <c r="B33" s="338"/>
      <c r="C33" s="15" t="s">
        <v>389</v>
      </c>
      <c r="D33" s="24">
        <f t="shared" si="4"/>
        <v>65956557.07999998</v>
      </c>
      <c r="E33" s="18"/>
      <c r="F33" s="18"/>
      <c r="G33" s="18">
        <v>11253887.319999993</v>
      </c>
      <c r="H33" s="29">
        <v>43448782.44</v>
      </c>
      <c r="I33" s="29">
        <v>11253887.319999993</v>
      </c>
      <c r="J33" s="19"/>
      <c r="K33" s="19"/>
      <c r="L33" s="19"/>
      <c r="M33" s="19"/>
    </row>
    <row r="34" spans="1:13" ht="28.5" customHeight="1">
      <c r="A34" s="339"/>
      <c r="B34" s="340"/>
      <c r="C34" s="177" t="s">
        <v>420</v>
      </c>
      <c r="D34" s="24"/>
      <c r="E34" s="83"/>
      <c r="F34" s="18"/>
      <c r="G34" s="83"/>
      <c r="H34" s="29"/>
      <c r="I34" s="29"/>
      <c r="J34" s="29">
        <v>67236326</v>
      </c>
      <c r="K34" s="18"/>
      <c r="L34" s="19"/>
      <c r="M34" s="19"/>
    </row>
    <row r="35" spans="1:13" ht="31.5" customHeight="1">
      <c r="A35" s="303" t="s">
        <v>90</v>
      </c>
      <c r="B35" s="308" t="s">
        <v>91</v>
      </c>
      <c r="C35" s="171" t="s">
        <v>108</v>
      </c>
      <c r="D35" s="24">
        <f t="shared" si="4"/>
        <v>0</v>
      </c>
      <c r="E35" s="83"/>
      <c r="F35" s="21"/>
      <c r="G35" s="83"/>
      <c r="H35" s="18"/>
      <c r="I35" s="20"/>
      <c r="J35" s="176"/>
      <c r="K35" s="19"/>
      <c r="L35" s="19"/>
      <c r="M35" s="19"/>
    </row>
    <row r="36" spans="1:13" ht="28.5" customHeight="1">
      <c r="A36" s="303"/>
      <c r="B36" s="308"/>
      <c r="C36" s="171" t="s">
        <v>132</v>
      </c>
      <c r="D36" s="24">
        <f t="shared" si="4"/>
        <v>0</v>
      </c>
      <c r="E36" s="18"/>
      <c r="F36" s="18"/>
      <c r="G36" s="18"/>
      <c r="H36" s="19"/>
      <c r="I36" s="20"/>
      <c r="J36" s="176"/>
      <c r="K36" s="19"/>
      <c r="L36" s="19"/>
      <c r="M36" s="19"/>
    </row>
    <row r="37" spans="1:13" ht="29.25" customHeight="1">
      <c r="A37" s="16" t="s">
        <v>105</v>
      </c>
      <c r="B37" s="7" t="s">
        <v>106</v>
      </c>
      <c r="C37" s="171" t="s">
        <v>389</v>
      </c>
      <c r="D37" s="24"/>
      <c r="E37" s="18"/>
      <c r="F37" s="18"/>
      <c r="G37" s="18"/>
      <c r="H37" s="19"/>
      <c r="I37" s="20"/>
      <c r="J37" s="176"/>
      <c r="K37" s="19"/>
      <c r="L37" s="19"/>
      <c r="M37" s="19"/>
    </row>
    <row r="38" spans="1:13" ht="31.5" customHeight="1">
      <c r="A38" s="335" t="s">
        <v>405</v>
      </c>
      <c r="B38" s="335" t="s">
        <v>91</v>
      </c>
      <c r="C38" s="171" t="s">
        <v>389</v>
      </c>
      <c r="D38" s="24">
        <f t="shared" si="4"/>
        <v>126235599.95000002</v>
      </c>
      <c r="E38" s="19"/>
      <c r="F38" s="19"/>
      <c r="G38" s="19"/>
      <c r="H38" s="19"/>
      <c r="I38" s="29">
        <v>126235599.95000002</v>
      </c>
      <c r="J38" s="176"/>
      <c r="K38" s="19"/>
      <c r="L38" s="19"/>
      <c r="M38" s="19"/>
    </row>
    <row r="39" spans="1:13" ht="31.5" customHeight="1">
      <c r="A39" s="339"/>
      <c r="B39" s="339"/>
      <c r="C39" s="177" t="s">
        <v>420</v>
      </c>
      <c r="D39" s="24">
        <f t="shared" si="4"/>
        <v>273946829</v>
      </c>
      <c r="E39" s="19"/>
      <c r="F39" s="19"/>
      <c r="G39" s="19"/>
      <c r="H39" s="19"/>
      <c r="J39" s="18">
        <v>273946829</v>
      </c>
      <c r="L39" s="19"/>
      <c r="M39" s="19"/>
    </row>
    <row r="40" spans="1:13" ht="30" customHeight="1">
      <c r="A40" s="304" t="s">
        <v>120</v>
      </c>
      <c r="B40" s="304"/>
      <c r="C40" s="304"/>
      <c r="D40" s="25">
        <f>SUM(E40:M40)</f>
        <v>1359201536.67</v>
      </c>
      <c r="E40" s="26">
        <f>SUM(E27:E38)</f>
        <v>230073803.72</v>
      </c>
      <c r="F40" s="26">
        <f>SUM(F27:F38)</f>
        <v>270000000</v>
      </c>
      <c r="G40" s="26">
        <f>SUM(G27:G38)</f>
        <v>166236326</v>
      </c>
      <c r="H40" s="26">
        <f>SUM(H27:H38)</f>
        <v>158236326</v>
      </c>
      <c r="I40" s="26">
        <f>SUM(I27:I38)</f>
        <v>193471925.95000002</v>
      </c>
      <c r="J40" s="26">
        <f>SUM(J27:J39)</f>
        <v>341183155</v>
      </c>
      <c r="K40" s="26">
        <f>SUM(K27:K38)</f>
        <v>0</v>
      </c>
      <c r="L40" s="26">
        <f>SUM(L27:L38)</f>
        <v>0</v>
      </c>
      <c r="M40" s="26">
        <f>SUM(M27:M38)</f>
        <v>0</v>
      </c>
    </row>
    <row r="41" spans="1:13" ht="22.5" customHeight="1">
      <c r="A41" s="319" t="s">
        <v>123</v>
      </c>
      <c r="B41" s="320"/>
      <c r="C41" s="320"/>
      <c r="D41" s="321"/>
      <c r="E41" s="322">
        <f>E40+F40+G40</f>
        <v>666310129.72</v>
      </c>
      <c r="F41" s="323"/>
      <c r="G41" s="324"/>
      <c r="H41" s="33">
        <f>E41+H40</f>
        <v>824546455.72</v>
      </c>
      <c r="I41" s="33">
        <f>H41+I40</f>
        <v>1018018381.6700001</v>
      </c>
      <c r="J41" s="33">
        <f>I41+J40</f>
        <v>1359201536.67</v>
      </c>
      <c r="K41" s="33">
        <f>J41+K40</f>
        <v>1359201536.67</v>
      </c>
      <c r="L41" s="33">
        <f>K41+L40</f>
        <v>1359201536.67</v>
      </c>
      <c r="M41" s="33">
        <f>L41+M40</f>
        <v>1359201536.67</v>
      </c>
    </row>
    <row r="42" spans="1:13" ht="30.75" customHeight="1">
      <c r="A42" s="319" t="s">
        <v>391</v>
      </c>
      <c r="B42" s="320"/>
      <c r="C42" s="320"/>
      <c r="D42" s="321"/>
      <c r="E42" s="328">
        <v>246981100</v>
      </c>
      <c r="F42" s="329"/>
      <c r="G42" s="330"/>
      <c r="H42" s="47"/>
      <c r="I42" s="47"/>
      <c r="J42" s="47"/>
      <c r="K42" s="47"/>
      <c r="L42" s="47"/>
      <c r="M42" s="47"/>
    </row>
    <row r="43" spans="1:13" ht="21" customHeight="1" hidden="1">
      <c r="A43" s="310" t="s">
        <v>119</v>
      </c>
      <c r="B43" s="311"/>
      <c r="C43" s="311"/>
      <c r="D43" s="312"/>
      <c r="E43" s="34">
        <v>97902582.3</v>
      </c>
      <c r="F43" s="34">
        <v>81865950</v>
      </c>
      <c r="G43" s="34">
        <v>117536400</v>
      </c>
      <c r="H43" s="34">
        <v>181870213</v>
      </c>
      <c r="I43" s="34">
        <f>349743400+((E43+F43+G43-E44)/3)</f>
        <v>366518010.76666665</v>
      </c>
      <c r="J43" s="34">
        <f>300000000+((E43+F43+G43-E44)/3)</f>
        <v>316774610.76666665</v>
      </c>
      <c r="K43" s="34">
        <f>300000000+((E43+F43+G43-E44)/3)</f>
        <v>316774610.76666665</v>
      </c>
      <c r="L43" s="34">
        <v>300000000</v>
      </c>
      <c r="M43" s="34">
        <v>300000000</v>
      </c>
    </row>
    <row r="44" spans="1:13" ht="21" customHeight="1">
      <c r="A44" s="319" t="s">
        <v>119</v>
      </c>
      <c r="B44" s="320"/>
      <c r="C44" s="320"/>
      <c r="D44" s="321"/>
      <c r="E44" s="325">
        <f>E42</f>
        <v>246981100</v>
      </c>
      <c r="F44" s="326"/>
      <c r="G44" s="327"/>
      <c r="H44" s="34">
        <f aca="true" t="shared" si="5" ref="H44:M44">H43</f>
        <v>181870213</v>
      </c>
      <c r="I44" s="34">
        <f t="shared" si="5"/>
        <v>366518010.76666665</v>
      </c>
      <c r="J44" s="34">
        <f t="shared" si="5"/>
        <v>316774610.76666665</v>
      </c>
      <c r="K44" s="34">
        <f t="shared" si="5"/>
        <v>316774610.76666665</v>
      </c>
      <c r="L44" s="34">
        <f t="shared" si="5"/>
        <v>300000000</v>
      </c>
      <c r="M44" s="34">
        <f t="shared" si="5"/>
        <v>300000000</v>
      </c>
    </row>
    <row r="45" spans="1:13" ht="21.75" customHeight="1">
      <c r="A45" s="319" t="s">
        <v>121</v>
      </c>
      <c r="B45" s="320"/>
      <c r="C45" s="320"/>
      <c r="D45" s="321"/>
      <c r="E45" s="316">
        <f>E44</f>
        <v>246981100</v>
      </c>
      <c r="F45" s="317"/>
      <c r="G45" s="318"/>
      <c r="H45" s="35">
        <f>E45+H44</f>
        <v>428851313</v>
      </c>
      <c r="I45" s="35">
        <f>H45+I44</f>
        <v>795369323.7666667</v>
      </c>
      <c r="J45" s="35">
        <f>I45+J44</f>
        <v>1112143934.5333333</v>
      </c>
      <c r="K45" s="35">
        <f>J45+K44</f>
        <v>1428918545.3</v>
      </c>
      <c r="L45" s="35">
        <f>K45+L44</f>
        <v>1728918545.3</v>
      </c>
      <c r="M45" s="35">
        <f>L45+M44</f>
        <v>2028918545.3</v>
      </c>
    </row>
    <row r="46" spans="1:13" ht="26.25" customHeight="1">
      <c r="A46" s="319" t="s">
        <v>122</v>
      </c>
      <c r="B46" s="320"/>
      <c r="C46" s="320"/>
      <c r="D46" s="321"/>
      <c r="E46" s="331">
        <f>E41-E45</f>
        <v>419329029.72</v>
      </c>
      <c r="F46" s="332"/>
      <c r="G46" s="333"/>
      <c r="H46" s="26">
        <f aca="true" t="shared" si="6" ref="H46:M46">H41-H45</f>
        <v>395695142.72</v>
      </c>
      <c r="I46" s="26">
        <f t="shared" si="6"/>
        <v>222649057.90333343</v>
      </c>
      <c r="J46" s="26">
        <f t="shared" si="6"/>
        <v>247057602.13666677</v>
      </c>
      <c r="K46" s="26">
        <f t="shared" si="6"/>
        <v>-69717008.62999988</v>
      </c>
      <c r="L46" s="26">
        <f t="shared" si="6"/>
        <v>-369717008.6299999</v>
      </c>
      <c r="M46" s="26">
        <f t="shared" si="6"/>
        <v>-669717008.6299999</v>
      </c>
    </row>
    <row r="47" spans="1:13" ht="30" customHeight="1">
      <c r="A47" s="309" t="s">
        <v>92</v>
      </c>
      <c r="B47" s="309"/>
      <c r="C47" s="309"/>
      <c r="D47" s="313" t="s">
        <v>394</v>
      </c>
      <c r="E47" s="314"/>
      <c r="F47" s="314"/>
      <c r="G47" s="314"/>
      <c r="H47" s="314"/>
      <c r="I47" s="314"/>
      <c r="J47" s="314"/>
      <c r="K47" s="314"/>
      <c r="L47" s="314"/>
      <c r="M47" s="315"/>
    </row>
    <row r="48" spans="1:13" ht="31.5" customHeight="1">
      <c r="A48" s="309"/>
      <c r="B48" s="309"/>
      <c r="C48" s="309"/>
      <c r="D48" s="6" t="s">
        <v>81</v>
      </c>
      <c r="E48" s="6" t="s">
        <v>85</v>
      </c>
      <c r="F48" s="6">
        <v>2013</v>
      </c>
      <c r="G48" s="6">
        <v>2014</v>
      </c>
      <c r="H48" s="6">
        <v>2015</v>
      </c>
      <c r="I48" s="6">
        <v>2016</v>
      </c>
      <c r="J48" s="6">
        <v>2017</v>
      </c>
      <c r="K48" s="6">
        <v>2018</v>
      </c>
      <c r="L48" s="6">
        <v>2019</v>
      </c>
      <c r="M48" s="6">
        <v>2020</v>
      </c>
    </row>
    <row r="49" spans="1:13" ht="72.75" customHeight="1">
      <c r="A49" s="303" t="s">
        <v>82</v>
      </c>
      <c r="B49" s="307" t="s">
        <v>83</v>
      </c>
      <c r="C49" s="11" t="s">
        <v>84</v>
      </c>
      <c r="D49" s="24">
        <f>SUM(E49:M49)</f>
        <v>17637467.88</v>
      </c>
      <c r="E49" s="18">
        <v>17637467.88</v>
      </c>
      <c r="F49" s="18"/>
      <c r="G49" s="18"/>
      <c r="H49" s="19"/>
      <c r="I49" s="19"/>
      <c r="J49" s="19"/>
      <c r="K49" s="19"/>
      <c r="L49" s="19"/>
      <c r="M49" s="19"/>
    </row>
    <row r="50" spans="1:13" ht="21.75" customHeight="1">
      <c r="A50" s="303"/>
      <c r="B50" s="307"/>
      <c r="C50" s="15" t="s">
        <v>86</v>
      </c>
      <c r="D50" s="24">
        <f aca="true" t="shared" si="7" ref="D50:D59">SUM(E50:M50)</f>
        <v>10000000</v>
      </c>
      <c r="E50" s="18">
        <v>10000000</v>
      </c>
      <c r="F50" s="27"/>
      <c r="G50" s="27"/>
      <c r="H50" s="12"/>
      <c r="I50" s="12"/>
      <c r="J50" s="19"/>
      <c r="K50" s="19"/>
      <c r="L50" s="19"/>
      <c r="M50" s="19"/>
    </row>
    <row r="51" spans="1:13" ht="22.5" customHeight="1">
      <c r="A51" s="303"/>
      <c r="B51" s="307"/>
      <c r="C51" s="15" t="s">
        <v>87</v>
      </c>
      <c r="D51" s="24">
        <f t="shared" si="7"/>
        <v>55000000</v>
      </c>
      <c r="E51" s="18"/>
      <c r="F51" s="27">
        <v>40000000</v>
      </c>
      <c r="G51" s="28">
        <v>10000000</v>
      </c>
      <c r="H51" s="28">
        <v>5000000</v>
      </c>
      <c r="I51" s="13"/>
      <c r="J51" s="19"/>
      <c r="K51" s="19"/>
      <c r="L51" s="19"/>
      <c r="M51" s="19"/>
    </row>
    <row r="52" spans="1:13" ht="24.75" customHeight="1">
      <c r="A52" s="335" t="s">
        <v>88</v>
      </c>
      <c r="B52" s="337" t="s">
        <v>89</v>
      </c>
      <c r="C52" s="15" t="s">
        <v>109</v>
      </c>
      <c r="D52" s="24">
        <f t="shared" si="7"/>
        <v>0</v>
      </c>
      <c r="E52" s="18"/>
      <c r="F52" s="27"/>
      <c r="G52" s="27"/>
      <c r="H52" s="12"/>
      <c r="I52" s="12"/>
      <c r="J52" s="19"/>
      <c r="K52" s="19"/>
      <c r="L52" s="19"/>
      <c r="M52" s="19"/>
    </row>
    <row r="53" spans="1:13" ht="20.25" customHeight="1">
      <c r="A53" s="336"/>
      <c r="B53" s="338"/>
      <c r="C53" s="15" t="s">
        <v>108</v>
      </c>
      <c r="D53" s="24">
        <f t="shared" si="7"/>
        <v>11240400</v>
      </c>
      <c r="E53" s="18"/>
      <c r="F53" s="27"/>
      <c r="G53" s="28">
        <v>5620200</v>
      </c>
      <c r="H53" s="28">
        <v>5620200</v>
      </c>
      <c r="I53" s="27"/>
      <c r="J53" s="19"/>
      <c r="K53" s="19"/>
      <c r="L53" s="19"/>
      <c r="M53" s="19"/>
    </row>
    <row r="54" spans="1:13" ht="30.75" customHeight="1">
      <c r="A54" s="336"/>
      <c r="B54" s="338"/>
      <c r="C54" s="15" t="s">
        <v>132</v>
      </c>
      <c r="D54" s="24">
        <f t="shared" si="7"/>
        <v>5620200</v>
      </c>
      <c r="E54" s="18"/>
      <c r="F54" s="27"/>
      <c r="G54" s="28"/>
      <c r="H54" s="28"/>
      <c r="I54" s="28">
        <v>5620200</v>
      </c>
      <c r="J54" s="19"/>
      <c r="K54" s="19"/>
      <c r="L54" s="19"/>
      <c r="M54" s="19"/>
    </row>
    <row r="55" spans="1:13" ht="30.75" customHeight="1">
      <c r="A55" s="339"/>
      <c r="B55" s="340"/>
      <c r="C55" s="177" t="s">
        <v>420</v>
      </c>
      <c r="D55" s="24">
        <f t="shared" si="7"/>
        <v>5620200</v>
      </c>
      <c r="E55" s="18"/>
      <c r="F55" s="27"/>
      <c r="G55" s="28"/>
      <c r="H55" s="28"/>
      <c r="I55" s="28"/>
      <c r="J55" s="101">
        <v>5620200</v>
      </c>
      <c r="L55" s="19"/>
      <c r="M55" s="19"/>
    </row>
    <row r="56" spans="1:13" ht="30.75" customHeight="1">
      <c r="A56" s="303" t="s">
        <v>90</v>
      </c>
      <c r="B56" s="308" t="s">
        <v>91</v>
      </c>
      <c r="C56" s="171" t="s">
        <v>108</v>
      </c>
      <c r="D56" s="24">
        <f t="shared" si="7"/>
        <v>0</v>
      </c>
      <c r="E56" s="18"/>
      <c r="F56" s="5"/>
      <c r="G56" s="27"/>
      <c r="H56" s="27"/>
      <c r="I56" s="13"/>
      <c r="J56" s="176"/>
      <c r="K56" s="19"/>
      <c r="L56" s="19"/>
      <c r="M56" s="19"/>
    </row>
    <row r="57" spans="1:13" ht="29.25" customHeight="1">
      <c r="A57" s="303"/>
      <c r="B57" s="308"/>
      <c r="C57" s="171" t="s">
        <v>132</v>
      </c>
      <c r="D57" s="24">
        <f t="shared" si="7"/>
        <v>26296655.64</v>
      </c>
      <c r="E57" s="18"/>
      <c r="F57" s="18"/>
      <c r="G57" s="29">
        <v>13148327.82</v>
      </c>
      <c r="H57" s="29">
        <v>13148327.82</v>
      </c>
      <c r="I57" s="20"/>
      <c r="J57" s="176"/>
      <c r="K57" s="19"/>
      <c r="L57" s="19"/>
      <c r="M57" s="19"/>
    </row>
    <row r="58" spans="1:13" ht="35.25" customHeight="1">
      <c r="A58" s="16" t="s">
        <v>105</v>
      </c>
      <c r="B58" s="7" t="s">
        <v>106</v>
      </c>
      <c r="C58" s="171" t="s">
        <v>389</v>
      </c>
      <c r="D58" s="24">
        <f t="shared" si="7"/>
        <v>40000000</v>
      </c>
      <c r="E58" s="18"/>
      <c r="F58" s="18"/>
      <c r="G58" s="18"/>
      <c r="H58" s="29">
        <v>12800000</v>
      </c>
      <c r="I58" s="29">
        <v>16000000</v>
      </c>
      <c r="J58" s="29">
        <v>11200000</v>
      </c>
      <c r="K58" s="19"/>
      <c r="L58" s="19"/>
      <c r="M58" s="19"/>
    </row>
    <row r="59" spans="1:13" ht="40.5" customHeight="1">
      <c r="A59" s="335" t="s">
        <v>405</v>
      </c>
      <c r="B59" s="335" t="s">
        <v>91</v>
      </c>
      <c r="C59" s="171" t="s">
        <v>389</v>
      </c>
      <c r="D59" s="24">
        <f t="shared" si="7"/>
        <v>91745863.9</v>
      </c>
      <c r="E59" s="19"/>
      <c r="F59" s="19"/>
      <c r="G59" s="19"/>
      <c r="H59" s="19"/>
      <c r="I59" s="18">
        <v>91745863.9</v>
      </c>
      <c r="J59" s="176"/>
      <c r="K59" s="19"/>
      <c r="L59" s="19"/>
      <c r="M59" s="19"/>
    </row>
    <row r="60" spans="1:13" ht="31.5" customHeight="1">
      <c r="A60" s="339"/>
      <c r="B60" s="339"/>
      <c r="C60" s="177" t="s">
        <v>420</v>
      </c>
      <c r="D60" s="24"/>
      <c r="E60" s="19"/>
      <c r="F60" s="19"/>
      <c r="G60" s="19"/>
      <c r="H60" s="19"/>
      <c r="I60" s="18"/>
      <c r="J60" s="101">
        <v>23648811</v>
      </c>
      <c r="K60" s="19"/>
      <c r="L60" s="19"/>
      <c r="M60" s="19"/>
    </row>
    <row r="61" spans="1:15" ht="30" customHeight="1">
      <c r="A61" s="304" t="s">
        <v>120</v>
      </c>
      <c r="B61" s="304"/>
      <c r="C61" s="304"/>
      <c r="D61" s="25">
        <f>SUM(E61:M61)</f>
        <v>286809598.41999996</v>
      </c>
      <c r="E61" s="26">
        <f>SUM(E49:E59)</f>
        <v>27637467.88</v>
      </c>
      <c r="F61" s="26">
        <f>SUM(F49:F59)</f>
        <v>40000000</v>
      </c>
      <c r="G61" s="26">
        <f>SUM(G49:G59)</f>
        <v>28768527.82</v>
      </c>
      <c r="H61" s="26">
        <f>SUM(H49:H59)</f>
        <v>36568527.82</v>
      </c>
      <c r="I61" s="26">
        <f>SUM(I49:I59)</f>
        <v>113366063.9</v>
      </c>
      <c r="J61" s="26">
        <f>SUM(J49:J60)</f>
        <v>40469011</v>
      </c>
      <c r="K61" s="26">
        <f>SUM(K49:K59)</f>
        <v>0</v>
      </c>
      <c r="L61" s="26">
        <f>SUM(L49:L59)</f>
        <v>0</v>
      </c>
      <c r="M61" s="26">
        <f>SUM(M49:M59)</f>
        <v>0</v>
      </c>
      <c r="O61" s="84"/>
    </row>
    <row r="62" spans="1:15" ht="21.75" customHeight="1">
      <c r="A62" s="319" t="s">
        <v>123</v>
      </c>
      <c r="B62" s="320"/>
      <c r="C62" s="320"/>
      <c r="D62" s="321"/>
      <c r="E62" s="322">
        <f>E61+F61+G61</f>
        <v>96405995.69999999</v>
      </c>
      <c r="F62" s="323"/>
      <c r="G62" s="324"/>
      <c r="H62" s="33">
        <f>E62+H61</f>
        <v>132974523.51999998</v>
      </c>
      <c r="I62" s="33">
        <f>H62+I61</f>
        <v>246340587.42</v>
      </c>
      <c r="J62" s="33">
        <f>I62+J61</f>
        <v>286809598.41999996</v>
      </c>
      <c r="K62" s="33">
        <f>J62+K61</f>
        <v>286809598.41999996</v>
      </c>
      <c r="L62" s="33">
        <f>K62+L61</f>
        <v>286809598.41999996</v>
      </c>
      <c r="M62" s="33">
        <f>L62+M61</f>
        <v>286809598.41999996</v>
      </c>
      <c r="O62" s="84"/>
    </row>
    <row r="63" spans="1:13" ht="27" customHeight="1">
      <c r="A63" s="319" t="s">
        <v>391</v>
      </c>
      <c r="B63" s="320"/>
      <c r="C63" s="320"/>
      <c r="D63" s="321"/>
      <c r="E63" s="346">
        <v>56680630</v>
      </c>
      <c r="F63" s="347"/>
      <c r="G63" s="348"/>
      <c r="H63" s="47"/>
      <c r="I63" s="47"/>
      <c r="J63" s="47"/>
      <c r="K63" s="47"/>
      <c r="L63" s="47"/>
      <c r="M63" s="47"/>
    </row>
    <row r="64" spans="1:13" ht="21.75" customHeight="1" hidden="1">
      <c r="A64" s="310" t="s">
        <v>119</v>
      </c>
      <c r="B64" s="311"/>
      <c r="C64" s="311"/>
      <c r="D64" s="312"/>
      <c r="E64" s="34">
        <v>15704764.72</v>
      </c>
      <c r="F64" s="34">
        <v>30144890</v>
      </c>
      <c r="G64" s="34">
        <v>33627140</v>
      </c>
      <c r="H64" s="34">
        <v>48114945</v>
      </c>
      <c r="I64" s="34">
        <f>106147800+((E64+F64+G64-E65)/3)</f>
        <v>113746521.57333334</v>
      </c>
      <c r="J64" s="34">
        <f>72000000+((E64+F64+G64-E65)/3)</f>
        <v>79598721.57333334</v>
      </c>
      <c r="K64" s="34">
        <f>72000000+((E64+F64+G64-E65)/3)</f>
        <v>79598721.57333334</v>
      </c>
      <c r="L64" s="34">
        <v>62475000</v>
      </c>
      <c r="M64" s="34">
        <v>31050000</v>
      </c>
    </row>
    <row r="65" spans="1:13" ht="21.75" customHeight="1">
      <c r="A65" s="319" t="s">
        <v>119</v>
      </c>
      <c r="B65" s="320"/>
      <c r="C65" s="320"/>
      <c r="D65" s="321"/>
      <c r="E65" s="349">
        <f>E63</f>
        <v>56680630</v>
      </c>
      <c r="F65" s="350"/>
      <c r="G65" s="351"/>
      <c r="H65" s="34">
        <f aca="true" t="shared" si="8" ref="H65:M65">H64</f>
        <v>48114945</v>
      </c>
      <c r="I65" s="34">
        <f t="shared" si="8"/>
        <v>113746521.57333334</v>
      </c>
      <c r="J65" s="34">
        <f t="shared" si="8"/>
        <v>79598721.57333334</v>
      </c>
      <c r="K65" s="34">
        <f t="shared" si="8"/>
        <v>79598721.57333334</v>
      </c>
      <c r="L65" s="34">
        <f t="shared" si="8"/>
        <v>62475000</v>
      </c>
      <c r="M65" s="34">
        <f t="shared" si="8"/>
        <v>31050000</v>
      </c>
    </row>
    <row r="66" spans="1:13" ht="21.75" customHeight="1">
      <c r="A66" s="319" t="s">
        <v>121</v>
      </c>
      <c r="B66" s="320"/>
      <c r="C66" s="320"/>
      <c r="D66" s="321"/>
      <c r="E66" s="316">
        <f>E65</f>
        <v>56680630</v>
      </c>
      <c r="F66" s="317"/>
      <c r="G66" s="318"/>
      <c r="H66" s="35">
        <f>E66+H64</f>
        <v>104795575</v>
      </c>
      <c r="I66" s="35">
        <f>H66+I64</f>
        <v>218542096.57333332</v>
      </c>
      <c r="J66" s="35">
        <f>I66+J64</f>
        <v>298140818.14666665</v>
      </c>
      <c r="K66" s="35">
        <f>J66+K64</f>
        <v>377739539.71999997</v>
      </c>
      <c r="L66" s="35">
        <f>K66+L64</f>
        <v>440214539.71999997</v>
      </c>
      <c r="M66" s="35">
        <f>L66+M64</f>
        <v>471264539.71999997</v>
      </c>
    </row>
    <row r="67" spans="1:13" ht="21.75" customHeight="1">
      <c r="A67" s="319" t="s">
        <v>122</v>
      </c>
      <c r="B67" s="320"/>
      <c r="C67" s="320"/>
      <c r="D67" s="321"/>
      <c r="E67" s="331">
        <f>E62-E66</f>
        <v>39725365.69999999</v>
      </c>
      <c r="F67" s="332"/>
      <c r="G67" s="333"/>
      <c r="H67" s="26">
        <f aca="true" t="shared" si="9" ref="H67:M67">H62-H66</f>
        <v>28178948.51999998</v>
      </c>
      <c r="I67" s="26">
        <f t="shared" si="9"/>
        <v>27798490.846666664</v>
      </c>
      <c r="J67" s="26">
        <f t="shared" si="9"/>
        <v>-11331219.726666689</v>
      </c>
      <c r="K67" s="26">
        <f t="shared" si="9"/>
        <v>-90929941.30000001</v>
      </c>
      <c r="L67" s="26">
        <f t="shared" si="9"/>
        <v>-153404941.3</v>
      </c>
      <c r="M67" s="26">
        <f t="shared" si="9"/>
        <v>-184454941.3</v>
      </c>
    </row>
    <row r="68" spans="1:13" s="99" customFormat="1" ht="9.75" customHeight="1">
      <c r="A68" s="95"/>
      <c r="B68" s="96"/>
      <c r="C68" s="96"/>
      <c r="D68" s="96"/>
      <c r="E68" s="94"/>
      <c r="F68" s="94"/>
      <c r="G68" s="94"/>
      <c r="H68" s="97"/>
      <c r="I68" s="97"/>
      <c r="J68" s="97"/>
      <c r="K68" s="97"/>
      <c r="L68" s="97"/>
      <c r="M68" s="98"/>
    </row>
    <row r="69" spans="1:13" ht="30.75" customHeight="1">
      <c r="A69" s="309" t="s">
        <v>112</v>
      </c>
      <c r="B69" s="309"/>
      <c r="C69" s="309"/>
      <c r="D69" s="313" t="s">
        <v>124</v>
      </c>
      <c r="E69" s="314"/>
      <c r="F69" s="314"/>
      <c r="G69" s="314"/>
      <c r="H69" s="314"/>
      <c r="I69" s="314"/>
      <c r="J69" s="314"/>
      <c r="K69" s="314"/>
      <c r="L69" s="314"/>
      <c r="M69" s="315"/>
    </row>
    <row r="70" spans="1:13" ht="24" customHeight="1">
      <c r="A70" s="309"/>
      <c r="B70" s="309"/>
      <c r="C70" s="309"/>
      <c r="D70" s="6" t="s">
        <v>81</v>
      </c>
      <c r="E70" s="6" t="s">
        <v>85</v>
      </c>
      <c r="F70" s="6">
        <v>2013</v>
      </c>
      <c r="G70" s="6">
        <v>2014</v>
      </c>
      <c r="H70" s="6">
        <v>2015</v>
      </c>
      <c r="I70" s="6">
        <v>2016</v>
      </c>
      <c r="J70" s="6">
        <v>2017</v>
      </c>
      <c r="K70" s="6">
        <v>2018</v>
      </c>
      <c r="L70" s="6">
        <v>2019</v>
      </c>
      <c r="M70" s="6">
        <v>2020</v>
      </c>
    </row>
    <row r="71" spans="1:13" ht="66" customHeight="1">
      <c r="A71" s="303" t="s">
        <v>82</v>
      </c>
      <c r="B71" s="307" t="s">
        <v>83</v>
      </c>
      <c r="C71" s="11" t="s">
        <v>84</v>
      </c>
      <c r="D71" s="24">
        <f>SUM(E71:M71)</f>
        <v>257738868.6</v>
      </c>
      <c r="E71" s="18">
        <f>E49+E27+E4</f>
        <v>257738868.6</v>
      </c>
      <c r="F71" s="18"/>
      <c r="G71" s="18"/>
      <c r="H71" s="18"/>
      <c r="I71" s="18"/>
      <c r="J71" s="18"/>
      <c r="K71" s="18"/>
      <c r="L71" s="18"/>
      <c r="M71" s="18"/>
    </row>
    <row r="72" spans="1:13" ht="15" customHeight="1">
      <c r="A72" s="303"/>
      <c r="B72" s="307"/>
      <c r="C72" s="15" t="s">
        <v>86</v>
      </c>
      <c r="D72" s="24">
        <f aca="true" t="shared" si="10" ref="D72:D77">SUM(E72:M72)</f>
        <v>344879663</v>
      </c>
      <c r="E72" s="18">
        <v>344879663</v>
      </c>
      <c r="F72" s="18"/>
      <c r="G72" s="18"/>
      <c r="H72" s="18"/>
      <c r="I72" s="18"/>
      <c r="J72" s="18"/>
      <c r="K72" s="18"/>
      <c r="L72" s="18"/>
      <c r="M72" s="18"/>
    </row>
    <row r="73" spans="1:13" ht="16.5" customHeight="1">
      <c r="A73" s="303"/>
      <c r="B73" s="307"/>
      <c r="C73" s="15" t="s">
        <v>87</v>
      </c>
      <c r="D73" s="24">
        <f t="shared" si="10"/>
        <v>1500000000</v>
      </c>
      <c r="E73" s="18"/>
      <c r="F73" s="18">
        <v>970000000</v>
      </c>
      <c r="G73" s="18">
        <v>276000000</v>
      </c>
      <c r="H73" s="18">
        <v>254000000</v>
      </c>
      <c r="I73" s="18"/>
      <c r="J73" s="18"/>
      <c r="K73" s="18"/>
      <c r="L73" s="18"/>
      <c r="M73" s="18"/>
    </row>
    <row r="74" spans="1:13" ht="18" customHeight="1">
      <c r="A74" s="17" t="s">
        <v>88</v>
      </c>
      <c r="B74" s="14" t="s">
        <v>89</v>
      </c>
      <c r="C74" s="15" t="s">
        <v>109</v>
      </c>
      <c r="D74" s="24">
        <f t="shared" si="10"/>
        <v>1130377032</v>
      </c>
      <c r="E74" s="18"/>
      <c r="F74" s="18"/>
      <c r="G74" s="18">
        <f>197200000-9860000</f>
        <v>187340000</v>
      </c>
      <c r="H74" s="18">
        <f>197200000-9438968</f>
        <v>187761032</v>
      </c>
      <c r="I74" s="18">
        <f>197200000-9860000</f>
        <v>187340000</v>
      </c>
      <c r="J74" s="18">
        <f>197200000-(197200000*0.04)</f>
        <v>189312000</v>
      </c>
      <c r="K74" s="18">
        <f>197200000-(197200000*0.04)</f>
        <v>189312000</v>
      </c>
      <c r="L74" s="18">
        <f>197200000-(197200000*0.04)</f>
        <v>189312000</v>
      </c>
      <c r="M74" s="18"/>
    </row>
    <row r="75" spans="1:13" ht="43.5" customHeight="1">
      <c r="A75" s="30" t="s">
        <v>90</v>
      </c>
      <c r="B75" s="344" t="s">
        <v>91</v>
      </c>
      <c r="C75" s="345"/>
      <c r="D75" s="24">
        <f t="shared" si="10"/>
        <v>554342386.8</v>
      </c>
      <c r="E75" s="18"/>
      <c r="F75" s="18"/>
      <c r="G75" s="18">
        <f>300000000-11170402.1</f>
        <v>288829597.9</v>
      </c>
      <c r="H75" s="18">
        <f>300000000-8500000-25987211.1</f>
        <v>265512788.9</v>
      </c>
      <c r="I75" s="18"/>
      <c r="J75" s="18"/>
      <c r="K75" s="18"/>
      <c r="L75" s="18"/>
      <c r="M75" s="18"/>
    </row>
    <row r="76" spans="1:13" ht="30" customHeight="1">
      <c r="A76" s="16" t="s">
        <v>105</v>
      </c>
      <c r="B76" s="305" t="s">
        <v>106</v>
      </c>
      <c r="C76" s="306"/>
      <c r="D76" s="24">
        <f t="shared" si="10"/>
        <v>250000000</v>
      </c>
      <c r="E76" s="18"/>
      <c r="F76" s="18"/>
      <c r="H76" s="18">
        <v>80000000</v>
      </c>
      <c r="I76" s="18">
        <v>100000000</v>
      </c>
      <c r="J76" s="18">
        <v>70000000</v>
      </c>
      <c r="K76" s="18"/>
      <c r="L76" s="18"/>
      <c r="M76" s="18"/>
    </row>
    <row r="77" spans="1:15" ht="46.5" customHeight="1">
      <c r="A77" s="16" t="s">
        <v>405</v>
      </c>
      <c r="B77" s="319" t="s">
        <v>91</v>
      </c>
      <c r="C77" s="321"/>
      <c r="D77" s="24">
        <f t="shared" si="10"/>
        <v>4871152265.33</v>
      </c>
      <c r="E77" s="18"/>
      <c r="F77" s="18"/>
      <c r="G77" s="18"/>
      <c r="H77" s="18">
        <f>193866442.33</f>
        <v>193866442.33</v>
      </c>
      <c r="I77" s="18">
        <f>899239000-13974947-(900000000*0.04)-11978230</f>
        <v>837285823</v>
      </c>
      <c r="J77" s="18">
        <f>1100000000-(1100000000*0.04)</f>
        <v>1056000000</v>
      </c>
      <c r="K77" s="18">
        <f>967000000-(967000000*0.04)</f>
        <v>928320000</v>
      </c>
      <c r="L77" s="18">
        <f>967000000-(967000000*0.04)</f>
        <v>928320000</v>
      </c>
      <c r="M77" s="18">
        <f>966000000-(966000000*0.04)</f>
        <v>927360000</v>
      </c>
      <c r="O77" s="21"/>
    </row>
    <row r="78" spans="1:15" ht="27.75" customHeight="1">
      <c r="A78" s="304" t="s">
        <v>81</v>
      </c>
      <c r="B78" s="304"/>
      <c r="C78" s="304"/>
      <c r="D78" s="26">
        <f>SUM(E78:M78)</f>
        <v>8908490215.73</v>
      </c>
      <c r="E78" s="23">
        <f aca="true" t="shared" si="11" ref="E78:M78">SUM(E71:E77)</f>
        <v>602618531.6</v>
      </c>
      <c r="F78" s="23">
        <f t="shared" si="11"/>
        <v>970000000</v>
      </c>
      <c r="G78" s="23">
        <f t="shared" si="11"/>
        <v>752169597.9</v>
      </c>
      <c r="H78" s="23">
        <f t="shared" si="11"/>
        <v>981140263.23</v>
      </c>
      <c r="I78" s="23">
        <f t="shared" si="11"/>
        <v>1124625823</v>
      </c>
      <c r="J78" s="23">
        <f>SUM(J71:J77)</f>
        <v>1315312000</v>
      </c>
      <c r="K78" s="23">
        <f t="shared" si="11"/>
        <v>1117632000</v>
      </c>
      <c r="L78" s="23">
        <f t="shared" si="11"/>
        <v>1117632000</v>
      </c>
      <c r="M78" s="23">
        <f t="shared" si="11"/>
        <v>927360000</v>
      </c>
      <c r="O78" s="21"/>
    </row>
    <row r="79" ht="7.5" customHeight="1"/>
    <row r="80" spans="1:13" ht="40.5" customHeight="1">
      <c r="A80" s="355" t="s">
        <v>404</v>
      </c>
      <c r="B80" s="356"/>
      <c r="C80" s="357"/>
      <c r="D80" s="313" t="s">
        <v>407</v>
      </c>
      <c r="E80" s="314"/>
      <c r="F80" s="314"/>
      <c r="G80" s="314"/>
      <c r="H80" s="314"/>
      <c r="I80" s="314"/>
      <c r="J80" s="314"/>
      <c r="K80" s="314"/>
      <c r="L80" s="314"/>
      <c r="M80" s="315"/>
    </row>
    <row r="81" spans="1:13" ht="30.75" customHeight="1">
      <c r="A81" s="358"/>
      <c r="B81" s="359"/>
      <c r="C81" s="360"/>
      <c r="D81" s="6" t="s">
        <v>81</v>
      </c>
      <c r="E81" s="6" t="s">
        <v>85</v>
      </c>
      <c r="F81" s="6">
        <v>2013</v>
      </c>
      <c r="G81" s="6">
        <v>2014</v>
      </c>
      <c r="H81" s="6">
        <v>2015</v>
      </c>
      <c r="I81" s="6">
        <v>2016</v>
      </c>
      <c r="J81" s="6">
        <v>2017</v>
      </c>
      <c r="K81" s="6">
        <v>2018</v>
      </c>
      <c r="L81" s="6">
        <v>2019</v>
      </c>
      <c r="M81" s="6">
        <v>2020</v>
      </c>
    </row>
    <row r="82" spans="1:13" ht="63.75">
      <c r="A82" s="341" t="s">
        <v>82</v>
      </c>
      <c r="B82" s="361" t="s">
        <v>83</v>
      </c>
      <c r="C82" s="11" t="s">
        <v>84</v>
      </c>
      <c r="D82" s="24">
        <f>SUM(E82:M82)</f>
        <v>0</v>
      </c>
      <c r="E82" s="18">
        <f>E71-E49-E27-E4</f>
        <v>0</v>
      </c>
      <c r="F82" s="18"/>
      <c r="G82" s="18"/>
      <c r="H82" s="18"/>
      <c r="I82" s="18"/>
      <c r="J82" s="18"/>
      <c r="K82" s="18"/>
      <c r="L82" s="18"/>
      <c r="M82" s="18"/>
    </row>
    <row r="83" spans="1:13" ht="22.5" customHeight="1">
      <c r="A83" s="342"/>
      <c r="B83" s="362"/>
      <c r="C83" s="15" t="s">
        <v>86</v>
      </c>
      <c r="D83" s="24">
        <f aca="true" t="shared" si="12" ref="D83:D88">SUM(E83:M83)</f>
        <v>0</v>
      </c>
      <c r="E83" s="18">
        <f>E72-E50-E28-E5</f>
        <v>0</v>
      </c>
      <c r="F83" s="18"/>
      <c r="G83" s="18"/>
      <c r="H83" s="18"/>
      <c r="I83" s="18"/>
      <c r="J83" s="18"/>
      <c r="K83" s="18"/>
      <c r="L83" s="18"/>
      <c r="M83" s="18"/>
    </row>
    <row r="84" spans="1:13" ht="22.5" customHeight="1">
      <c r="A84" s="343"/>
      <c r="B84" s="363"/>
      <c r="C84" s="15" t="s">
        <v>87</v>
      </c>
      <c r="D84" s="24">
        <f t="shared" si="12"/>
        <v>0</v>
      </c>
      <c r="E84" s="18"/>
      <c r="F84" s="18">
        <f>F73-F51-F29-F6</f>
        <v>0</v>
      </c>
      <c r="G84" s="18">
        <f>G73-G51-G29-G6</f>
        <v>0</v>
      </c>
      <c r="H84" s="18">
        <f>H73-H51-H29-H6</f>
        <v>0</v>
      </c>
      <c r="I84" s="18"/>
      <c r="J84" s="18"/>
      <c r="K84" s="18"/>
      <c r="L84" s="18"/>
      <c r="M84" s="18"/>
    </row>
    <row r="85" spans="1:13" ht="25.5" customHeight="1">
      <c r="A85" s="17" t="s">
        <v>88</v>
      </c>
      <c r="B85" s="305" t="s">
        <v>89</v>
      </c>
      <c r="C85" s="306"/>
      <c r="D85" s="24">
        <f t="shared" si="12"/>
        <v>381017032</v>
      </c>
      <c r="E85" s="18"/>
      <c r="F85" s="18"/>
      <c r="G85" s="18">
        <f>G74-G55-G54-G53-G52-G33-G32-G31-G30-G9-G8-G7-G34-G10</f>
        <v>0</v>
      </c>
      <c r="H85" s="18">
        <f>H74-H55-H54-H53-H52-H33-H32-H31-H30-H9-H8-H7-H34-H10</f>
        <v>0</v>
      </c>
      <c r="I85" s="18">
        <f>I74-I55-I54-I53-I52-I33-I32-I31-I30-I9-I8-I7-I34-I10</f>
        <v>0</v>
      </c>
      <c r="J85" s="18">
        <f>J74-J55-J54-J53-J52-J34-J33-J32-J31-J30-J10-J9-J8-J7</f>
        <v>2393032</v>
      </c>
      <c r="K85" s="18">
        <f>K74-K55-K54-K53-K52-K34-K33-K32-K31-K30-K10-K9-K8-K7</f>
        <v>189312000</v>
      </c>
      <c r="L85" s="18">
        <f>L74-L55-L54-L53-L52-L34-L33-L32-L31-L30-L10-L9-L8-L7</f>
        <v>189312000</v>
      </c>
      <c r="M85" s="18"/>
    </row>
    <row r="86" spans="1:13" ht="48" customHeight="1">
      <c r="A86" s="30" t="s">
        <v>90</v>
      </c>
      <c r="B86" s="305" t="s">
        <v>91</v>
      </c>
      <c r="C86" s="306"/>
      <c r="D86" s="24">
        <f t="shared" si="12"/>
        <v>0</v>
      </c>
      <c r="E86" s="18"/>
      <c r="F86" s="18"/>
      <c r="G86" s="18">
        <f>G75-G57-G56-G36-G35-G12-G11-G13</f>
        <v>0</v>
      </c>
      <c r="H86" s="18">
        <v>0</v>
      </c>
      <c r="I86" s="18"/>
      <c r="J86" s="18"/>
      <c r="K86" s="18"/>
      <c r="L86" s="18"/>
      <c r="M86" s="18"/>
    </row>
    <row r="87" spans="1:13" ht="24" customHeight="1">
      <c r="A87" s="16" t="s">
        <v>105</v>
      </c>
      <c r="B87" s="305" t="s">
        <v>106</v>
      </c>
      <c r="C87" s="306"/>
      <c r="D87" s="24">
        <f t="shared" si="12"/>
        <v>0</v>
      </c>
      <c r="E87" s="18"/>
      <c r="F87" s="18"/>
      <c r="G87" s="18"/>
      <c r="H87" s="18">
        <f>H76-H58-H15</f>
        <v>0</v>
      </c>
      <c r="I87" s="18">
        <f>I76-I58-I15</f>
        <v>0</v>
      </c>
      <c r="J87" s="18">
        <f>J76-J58-J15</f>
        <v>0</v>
      </c>
      <c r="K87" s="18"/>
      <c r="L87" s="18"/>
      <c r="M87" s="18"/>
    </row>
    <row r="88" spans="1:13" ht="44.25" customHeight="1">
      <c r="A88" s="16" t="s">
        <v>405</v>
      </c>
      <c r="B88" s="319" t="s">
        <v>91</v>
      </c>
      <c r="C88" s="321"/>
      <c r="D88" s="24">
        <f t="shared" si="12"/>
        <v>3287375828.91</v>
      </c>
      <c r="E88" s="18"/>
      <c r="F88" s="18"/>
      <c r="G88" s="18">
        <f>G77-G16-G39-G60-G59-G38</f>
        <v>0</v>
      </c>
      <c r="H88" s="18">
        <v>0</v>
      </c>
      <c r="I88" s="18">
        <f>I77-I16-I39-I60-I59-I38-I17</f>
        <v>177653472.90999997</v>
      </c>
      <c r="J88" s="18">
        <f>J77-J16-J39-J60-J59-J38-J17</f>
        <v>325722356</v>
      </c>
      <c r="K88" s="18">
        <f>K77-K16-K39-K60-K59-K38-K17</f>
        <v>928320000</v>
      </c>
      <c r="L88" s="18">
        <f>L77-L16-L39-L60-L59-L38-L17</f>
        <v>928320000</v>
      </c>
      <c r="M88" s="18">
        <f>M77-M16-M39-M60-M59-M38-M17</f>
        <v>927360000</v>
      </c>
    </row>
    <row r="89" spans="1:13" ht="29.25" customHeight="1">
      <c r="A89" s="319" t="s">
        <v>81</v>
      </c>
      <c r="B89" s="320"/>
      <c r="C89" s="321"/>
      <c r="D89" s="26">
        <f>SUM(E89:M89)</f>
        <v>3668392860.91</v>
      </c>
      <c r="E89" s="23">
        <f>SUM(E82:E88)</f>
        <v>0</v>
      </c>
      <c r="F89" s="23">
        <f aca="true" t="shared" si="13" ref="F89:M89">SUM(F82:F88)</f>
        <v>0</v>
      </c>
      <c r="G89" s="23">
        <f t="shared" si="13"/>
        <v>0</v>
      </c>
      <c r="H89" s="23">
        <f t="shared" si="13"/>
        <v>0</v>
      </c>
      <c r="I89" s="23">
        <f t="shared" si="13"/>
        <v>177653472.90999997</v>
      </c>
      <c r="J89" s="23">
        <f>SUM(J82:J88)</f>
        <v>328115388</v>
      </c>
      <c r="K89" s="23">
        <f t="shared" si="13"/>
        <v>1117632000</v>
      </c>
      <c r="L89" s="23">
        <f t="shared" si="13"/>
        <v>1117632000</v>
      </c>
      <c r="M89" s="23">
        <f t="shared" si="13"/>
        <v>927360000</v>
      </c>
    </row>
    <row r="90" spans="7:10" ht="15">
      <c r="G90" s="92"/>
      <c r="H90" s="93"/>
      <c r="I90" s="93"/>
      <c r="J90" s="93"/>
    </row>
    <row r="91" spans="8:10" ht="12.75">
      <c r="H91" s="87"/>
      <c r="I91" s="87"/>
      <c r="J91" s="55">
        <v>180000000</v>
      </c>
    </row>
    <row r="92" spans="4:9" ht="12.75">
      <c r="D92" s="55">
        <v>989721599.1164005</v>
      </c>
      <c r="H92" s="87"/>
      <c r="I92" s="175">
        <f>I88</f>
        <v>177653472.90999997</v>
      </c>
    </row>
    <row r="93" spans="4:10" ht="12.75">
      <c r="D93" s="178">
        <v>741246712.722213</v>
      </c>
      <c r="H93" s="87"/>
      <c r="I93" s="55">
        <f>D92-I92</f>
        <v>812068126.2064005</v>
      </c>
      <c r="J93" s="55"/>
    </row>
    <row r="94" ht="12.75">
      <c r="D94" s="178">
        <v>167672496.0818327</v>
      </c>
    </row>
    <row r="95" spans="4:8" ht="12.75">
      <c r="D95" s="178">
        <v>80802390.31235474</v>
      </c>
      <c r="H95" s="55"/>
    </row>
    <row r="96" ht="12.75"/>
    <row r="97" spans="7:8" ht="12.75">
      <c r="G97" s="10" t="s">
        <v>4</v>
      </c>
      <c r="H97" s="55">
        <v>1277996351.214277</v>
      </c>
    </row>
    <row r="98" spans="7:9" ht="38.25">
      <c r="G98" s="10" t="s">
        <v>408</v>
      </c>
      <c r="H98" s="5">
        <v>333907599.80500054</v>
      </c>
      <c r="I98" s="100">
        <f>166953799.9025+J102</f>
        <v>169255711.63244978</v>
      </c>
    </row>
    <row r="99" spans="7:10" ht="25.5">
      <c r="G99" s="10" t="s">
        <v>74</v>
      </c>
      <c r="H99" s="55">
        <v>20056288.367549956</v>
      </c>
      <c r="I99" s="55"/>
      <c r="J99" s="55">
        <f>I98+H99</f>
        <v>189311999.99999973</v>
      </c>
    </row>
    <row r="100" spans="7:8" ht="12.75">
      <c r="G100" s="10" t="s">
        <v>81</v>
      </c>
      <c r="H100" s="5">
        <v>1631960239.3868275</v>
      </c>
    </row>
    <row r="101" ht="12.75"/>
    <row r="102" ht="12.75">
      <c r="J102" s="55">
        <v>2301911.7299497724</v>
      </c>
    </row>
    <row r="103" ht="12.75"/>
    <row r="104" ht="12.75"/>
    <row r="105" ht="12.75"/>
    <row r="106" ht="12.75"/>
    <row r="107" ht="12.75"/>
    <row r="108" ht="12.75"/>
    <row r="109" ht="12.75"/>
    <row r="110" ht="12.75"/>
    <row r="111" ht="12.75"/>
    <row r="112" ht="12.75"/>
    <row r="113" ht="12.75"/>
    <row r="114" ht="12.75"/>
    <row r="115" ht="12.75"/>
    <row r="117" ht="12.75"/>
    <row r="118" ht="12.75"/>
  </sheetData>
  <sheetProtection/>
  <mergeCells count="84">
    <mergeCell ref="A89:C89"/>
    <mergeCell ref="A80:C81"/>
    <mergeCell ref="B85:C85"/>
    <mergeCell ref="A82:A84"/>
    <mergeCell ref="B82:B84"/>
    <mergeCell ref="B86:C86"/>
    <mergeCell ref="B87:C87"/>
    <mergeCell ref="B88:C88"/>
    <mergeCell ref="D80:M80"/>
    <mergeCell ref="B77:C77"/>
    <mergeCell ref="A78:C78"/>
    <mergeCell ref="A69:C70"/>
    <mergeCell ref="D69:M69"/>
    <mergeCell ref="A71:A73"/>
    <mergeCell ref="B71:B73"/>
    <mergeCell ref="B75:C75"/>
    <mergeCell ref="B76:C76"/>
    <mergeCell ref="A65:D65"/>
    <mergeCell ref="E65:G65"/>
    <mergeCell ref="A66:D66"/>
    <mergeCell ref="E66:G66"/>
    <mergeCell ref="A67:D67"/>
    <mergeCell ref="E67:G67"/>
    <mergeCell ref="E62:G62"/>
    <mergeCell ref="A63:D63"/>
    <mergeCell ref="E63:G63"/>
    <mergeCell ref="A59:A60"/>
    <mergeCell ref="B59:B60"/>
    <mergeCell ref="A64:D64"/>
    <mergeCell ref="A52:A55"/>
    <mergeCell ref="B52:B55"/>
    <mergeCell ref="A61:C61"/>
    <mergeCell ref="A62:D62"/>
    <mergeCell ref="A56:A57"/>
    <mergeCell ref="B56:B57"/>
    <mergeCell ref="A44:D44"/>
    <mergeCell ref="A43:D43"/>
    <mergeCell ref="A47:C48"/>
    <mergeCell ref="D47:M47"/>
    <mergeCell ref="A49:A51"/>
    <mergeCell ref="B49:B51"/>
    <mergeCell ref="E41:G41"/>
    <mergeCell ref="A42:D42"/>
    <mergeCell ref="A38:A39"/>
    <mergeCell ref="B38:B39"/>
    <mergeCell ref="E42:G42"/>
    <mergeCell ref="A40:C40"/>
    <mergeCell ref="A41:D41"/>
    <mergeCell ref="A30:A34"/>
    <mergeCell ref="B30:B34"/>
    <mergeCell ref="E19:G19"/>
    <mergeCell ref="E22:G22"/>
    <mergeCell ref="A27:A29"/>
    <mergeCell ref="A45:D45"/>
    <mergeCell ref="E45:G45"/>
    <mergeCell ref="E44:G44"/>
    <mergeCell ref="A35:A36"/>
    <mergeCell ref="B35:B36"/>
    <mergeCell ref="A1:M1"/>
    <mergeCell ref="A2:C3"/>
    <mergeCell ref="D2:M2"/>
    <mergeCell ref="A4:A6"/>
    <mergeCell ref="B4:B6"/>
    <mergeCell ref="A46:D46"/>
    <mergeCell ref="E46:G46"/>
    <mergeCell ref="D25:M25"/>
    <mergeCell ref="A19:D19"/>
    <mergeCell ref="E20:G20"/>
    <mergeCell ref="B27:B29"/>
    <mergeCell ref="E23:G23"/>
    <mergeCell ref="E24:G24"/>
    <mergeCell ref="A20:D20"/>
    <mergeCell ref="A25:C26"/>
    <mergeCell ref="A23:D23"/>
    <mergeCell ref="A24:D24"/>
    <mergeCell ref="A21:D21"/>
    <mergeCell ref="A22:D22"/>
    <mergeCell ref="A16:A17"/>
    <mergeCell ref="B16:B17"/>
    <mergeCell ref="A18:C18"/>
    <mergeCell ref="A7:A10"/>
    <mergeCell ref="B7:B10"/>
    <mergeCell ref="A11:A14"/>
    <mergeCell ref="B11:B14"/>
  </mergeCells>
  <conditionalFormatting sqref="E24 H24:M24">
    <cfRule type="cellIs" priority="6" dxfId="9" operator="lessThan" stopIfTrue="1">
      <formula>0</formula>
    </cfRule>
  </conditionalFormatting>
  <conditionalFormatting sqref="E46 H46:M46">
    <cfRule type="cellIs" priority="5" dxfId="9" operator="lessThan" stopIfTrue="1">
      <formula>0</formula>
    </cfRule>
  </conditionalFormatting>
  <conditionalFormatting sqref="E67:E68 H67:M68">
    <cfRule type="cellIs" priority="4" dxfId="9" operator="lessThan" stopIfTrue="1">
      <formula>0</formula>
    </cfRule>
  </conditionalFormatting>
  <printOptions horizontalCentered="1" verticalCentered="1"/>
  <pageMargins left="0.35433070866141736" right="0.2362204724409449" top="0.35433070866141736" bottom="0.4724409448818898" header="0.2755905511811024" footer="0.31496062992125984"/>
  <pageSetup fitToHeight="10" horizontalDpi="600" verticalDpi="600" orientation="landscape" paperSize="9" scale="52" r:id="rId3"/>
  <rowBreaks count="3" manualBreakCount="3">
    <brk id="24" max="12" man="1"/>
    <brk id="46" max="12" man="1"/>
    <brk id="68" max="12"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dario.pecci</dc:creator>
  <cp:keywords/>
  <dc:description/>
  <cp:lastModifiedBy>Sara Panda</cp:lastModifiedBy>
  <cp:lastPrinted>2019-06-17T10:14:50Z</cp:lastPrinted>
  <dcterms:created xsi:type="dcterms:W3CDTF">2013-07-23T06:47:15Z</dcterms:created>
  <dcterms:modified xsi:type="dcterms:W3CDTF">2023-01-12T15:46:15Z</dcterms:modified>
  <cp:category/>
  <cp:version/>
  <cp:contentType/>
  <cp:contentStatus/>
</cp:coreProperties>
</file>